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445" tabRatio="966" firstSheet="20" activeTab="25"/>
  </bookViews>
  <sheets>
    <sheet name="GB BUDGET 19-20" sheetId="1" r:id="rId1"/>
    <sheet name="LMC ANNUAL BUDGET 19-20" sheetId="2" r:id="rId2"/>
    <sheet name="ANN 1" sheetId="3" r:id="rId3"/>
    <sheet name="ANN 2" sheetId="4" r:id="rId4"/>
    <sheet name="ANN 3" sheetId="5" r:id="rId5"/>
    <sheet name="ANN 4" sheetId="6" r:id="rId6"/>
    <sheet name="ANN 5" sheetId="7" r:id="rId7"/>
    <sheet name="ANN 6" sheetId="8" r:id="rId8"/>
    <sheet name="ANN 7" sheetId="9" r:id="rId9"/>
    <sheet name="ANN 8" sheetId="10" r:id="rId10"/>
    <sheet name="ANN 9" sheetId="11" r:id="rId11"/>
    <sheet name="ANN 10" sheetId="12" r:id="rId12"/>
    <sheet name="ANN 11" sheetId="13" r:id="rId13"/>
    <sheet name="ANN 12" sheetId="14" r:id="rId14"/>
    <sheet name="ANN 13" sheetId="15" r:id="rId15"/>
    <sheet name="ANN-14" sheetId="16" r:id="rId16"/>
    <sheet name="ANN 15" sheetId="17" r:id="rId17"/>
    <sheet name="ANN 16 EQUIPMENTS" sheetId="18" r:id="rId18"/>
    <sheet name="ANN 17 LIBRARY BOOKS" sheetId="19" r:id="rId19"/>
    <sheet name="Ann- 18 FURNT. &amp; FIX." sheetId="20" r:id="rId20"/>
    <sheet name="Salary &amp; wages" sheetId="21" r:id="rId21"/>
    <sheet name="ANN 19 SALARY" sheetId="22" r:id="rId22"/>
    <sheet name="ANN 20 REMN TO GUEST" sheetId="23" r:id="rId23"/>
    <sheet name="ANN 21 TRAVELLING" sheetId="24" r:id="rId24"/>
    <sheet name="TRAVEL. &amp; CONV." sheetId="25" r:id="rId25"/>
    <sheet name="ANN 22 committe visit exp" sheetId="26" r:id="rId26"/>
    <sheet name="ANN-23 NESPAPAER &amp; PERIODICAL" sheetId="27" r:id="rId27"/>
    <sheet name="ANN-24 GATH. &amp; CUL.EXP" sheetId="28" r:id="rId28"/>
    <sheet name="Ann-25 seminar &amp; exbh." sheetId="29" r:id="rId29"/>
    <sheet name="SPPU SEMINAR" sheetId="30" r:id="rId30"/>
    <sheet name="ANN-26 off. exp." sheetId="31" r:id="rId31"/>
    <sheet name=" off. exps" sheetId="32" r:id="rId32"/>
    <sheet name="ANN-27 prin. &amp; stat" sheetId="33" r:id="rId33"/>
    <sheet name="Print &amp; Stat." sheetId="34" r:id="rId34"/>
    <sheet name="ANN-28 postage" sheetId="35" r:id="rId35"/>
    <sheet name="ANN-29" sheetId="36" r:id="rId36"/>
    <sheet name="student welfare &amp; Alumini" sheetId="37" r:id="rId37"/>
    <sheet name="Ann-30 Staff Welfare" sheetId="38" r:id="rId38"/>
    <sheet name="Staff Welfare" sheetId="39" r:id="rId39"/>
    <sheet name="ANN 31 repairs" sheetId="40" r:id="rId40"/>
    <sheet name="Repairs &amp; Maint." sheetId="41" r:id="rId41"/>
    <sheet name="Ann-32" sheetId="42" r:id="rId42"/>
    <sheet name="Ann-33 Affiliation fee" sheetId="43" r:id="rId43"/>
    <sheet name="Ann-34 Bank Charges" sheetId="44" r:id="rId44"/>
    <sheet name="Ann-35 Traning &amp; Placemn" sheetId="45" r:id="rId45"/>
    <sheet name="ANN 36 R&amp;D" sheetId="46" r:id="rId46"/>
    <sheet name="Ann-37 Naac exp" sheetId="47" r:id="rId47"/>
    <sheet name="Ann 38 software exp." sheetId="48" r:id="rId48"/>
    <sheet name="ANN 39 exam expense" sheetId="49" r:id="rId49"/>
    <sheet name="Ann 40 A &amp; P" sheetId="50" r:id="rId50"/>
    <sheet name="Sheet3" sheetId="51" r:id="rId51"/>
  </sheets>
  <externalReferences>
    <externalReference r:id="rId54"/>
  </externalReferences>
  <definedNames>
    <definedName name="_xlnm.Print_Area" localSheetId="2">'ANN 1'!$A$1:$K$61</definedName>
    <definedName name="_xlnm.Print_Titles" localSheetId="21">'ANN 19 SALARY'!$6:$7</definedName>
    <definedName name="_xlnm.Print_Titles" localSheetId="0">'GB BUDGET 19-20'!$6:$8</definedName>
    <definedName name="_xlnm.Print_Titles" localSheetId="1">'LMC ANNUAL BUDGET 19-20'!$6:$8</definedName>
    <definedName name="_xlnm.Print_Titles" localSheetId="24">'TRAVEL. &amp; CONV.'!$7:$7</definedName>
  </definedNames>
  <calcPr fullCalcOnLoad="1"/>
</workbook>
</file>

<file path=xl/sharedStrings.xml><?xml version="1.0" encoding="utf-8"?>
<sst xmlns="http://schemas.openxmlformats.org/spreadsheetml/2006/main" count="1578" uniqueCount="849">
  <si>
    <t>INCOME</t>
  </si>
  <si>
    <t>EXPENDITURE</t>
  </si>
  <si>
    <t>A</t>
  </si>
  <si>
    <t>B</t>
  </si>
  <si>
    <t>Description</t>
  </si>
  <si>
    <t>1) Non Recurring</t>
  </si>
  <si>
    <t>1)Non Recurring</t>
  </si>
  <si>
    <t>Corpus/Society Contribution</t>
  </si>
  <si>
    <t>Equipment &amp; Tools</t>
  </si>
  <si>
    <t>Library Books</t>
  </si>
  <si>
    <t>Furniture &amp; Fixtures</t>
  </si>
  <si>
    <t>Sub Total (1)</t>
  </si>
  <si>
    <t>Sub Total(1)</t>
  </si>
  <si>
    <t xml:space="preserve">2)Recurring </t>
  </si>
  <si>
    <t>2) Recurring</t>
  </si>
  <si>
    <t>A)Fees</t>
  </si>
  <si>
    <t>Printing &amp; stationary</t>
  </si>
  <si>
    <t>Student welfare Expenses</t>
  </si>
  <si>
    <t>Consumables</t>
  </si>
  <si>
    <t>Bank Charges &amp; Commission</t>
  </si>
  <si>
    <t>B) Other Receipts</t>
  </si>
  <si>
    <t>Refundable Deposits</t>
  </si>
  <si>
    <t>Refund of deposits</t>
  </si>
  <si>
    <t>Sub Total(3)</t>
  </si>
  <si>
    <t>Sub total (3)</t>
  </si>
  <si>
    <t>Surplus if any(Excess of Income over Expenditure)</t>
  </si>
  <si>
    <t>Total</t>
  </si>
  <si>
    <t>TOTAL</t>
  </si>
  <si>
    <t xml:space="preserve">3)Allocation of Common Exps. </t>
  </si>
  <si>
    <t>Library Fee</t>
  </si>
  <si>
    <t>Remuneration  to Visiting &amp; Guest Faculties</t>
  </si>
  <si>
    <t>Staff Welfare</t>
  </si>
  <si>
    <t>Affiliation  Fees/ Regn Fees</t>
  </si>
  <si>
    <t>Enrollment Fee</t>
  </si>
  <si>
    <t>Repairs &amp; Maintenance</t>
  </si>
  <si>
    <t>Laboratory Fees</t>
  </si>
  <si>
    <t>Gathering &amp; cultural Fee</t>
  </si>
  <si>
    <t>3)Other Income(Pl.Specify)</t>
  </si>
  <si>
    <t>Admission Cancellation Charges</t>
  </si>
  <si>
    <t>Students Welfare Fees</t>
  </si>
  <si>
    <t xml:space="preserve">Sr. No. </t>
  </si>
  <si>
    <t xml:space="preserve">Particulars </t>
  </si>
  <si>
    <t>Sr. No</t>
  </si>
  <si>
    <t>Printing &amp; Stationery</t>
  </si>
  <si>
    <t>Campus- LONAVALA</t>
  </si>
  <si>
    <t>a)Institute Expenses</t>
  </si>
  <si>
    <t xml:space="preserve"> Interim /Tuition Fees/Development Fees</t>
  </si>
  <si>
    <t>Salaries &amp;Wages (including  institute contribution to P.F. and  Administration charges  to P.F.)</t>
  </si>
  <si>
    <t>Other Fee (Pl.Specify)</t>
  </si>
  <si>
    <t>Travelling &amp; Conveyance</t>
  </si>
  <si>
    <t>Committee Visit Expenses</t>
  </si>
  <si>
    <t>News Papers Expenses</t>
  </si>
  <si>
    <t xml:space="preserve">Periodicals &amp; Journals </t>
  </si>
  <si>
    <t>Gathering / Cultural / Function Expenses</t>
  </si>
  <si>
    <t>Seminars &amp; Exhibitions</t>
  </si>
  <si>
    <t>Uniform exp</t>
  </si>
  <si>
    <t>Exam Fee</t>
  </si>
  <si>
    <t>Eligibility &amp; Eligibility Form Fee</t>
  </si>
  <si>
    <t>Eligibility &amp; Eligibility Form Fees</t>
  </si>
  <si>
    <t>Internet Charges</t>
  </si>
  <si>
    <t>Training &amp; Placement</t>
  </si>
  <si>
    <t xml:space="preserve">Office Expenses </t>
  </si>
  <si>
    <t>Postage &amp;  Courier &amp; Telephone</t>
  </si>
  <si>
    <t>Sub Total  (2 A)</t>
  </si>
  <si>
    <t>Sub Total (2 A)</t>
  </si>
  <si>
    <t>B) Payments</t>
  </si>
  <si>
    <t>Sub Total  (B)</t>
  </si>
  <si>
    <t>Sub Total  (2 B )</t>
  </si>
  <si>
    <t>Sub Total  (2 A+B)</t>
  </si>
  <si>
    <t>Sub Total 2 (A+B)</t>
  </si>
  <si>
    <t>Sale of prospectus &amp; form</t>
  </si>
  <si>
    <t>Garden Maintenance</t>
  </si>
  <si>
    <t>Office Exps.</t>
  </si>
  <si>
    <t xml:space="preserve">Sub Total (1+2) </t>
  </si>
  <si>
    <t>Sub Total (2+3)</t>
  </si>
  <si>
    <t>Total (1+2)+3</t>
  </si>
  <si>
    <t>Name  of the  Institute: SIBACA</t>
  </si>
  <si>
    <t>Interest on Fixed Deposits</t>
  </si>
  <si>
    <t>Staff Welfare/ Faculty Dev. Prog.</t>
  </si>
  <si>
    <t xml:space="preserve"> </t>
  </si>
  <si>
    <t>Rennovation &amp; Interior Furnishing of Exhisting Building</t>
  </si>
  <si>
    <t>Exam Fee-Regular</t>
  </si>
  <si>
    <t>Exam Fee-Repeater</t>
  </si>
  <si>
    <t>SANCTION INTAKE</t>
  </si>
  <si>
    <t>CATEGORY</t>
  </si>
  <si>
    <t>NO.OF STUDENTS</t>
  </si>
  <si>
    <t>FEES PER STUDENT</t>
  </si>
  <si>
    <t>TOTAL FEES RECEIVABLE</t>
  </si>
  <si>
    <t>ACTUAL FEES RECEIVED RS.</t>
  </si>
  <si>
    <t>RECEIVABLE AMT.RS.</t>
  </si>
  <si>
    <t>TUTION FEE</t>
  </si>
  <si>
    <t>DEV. FEE</t>
  </si>
  <si>
    <t>FROM STUDENT</t>
  </si>
  <si>
    <t>FROM SAMAJKALYAN</t>
  </si>
  <si>
    <t>MBA-I (6205)</t>
  </si>
  <si>
    <t>OBC</t>
  </si>
  <si>
    <t>SC</t>
  </si>
  <si>
    <t>NT/VJNT</t>
  </si>
  <si>
    <t>SBC</t>
  </si>
  <si>
    <t>ST</t>
  </si>
  <si>
    <t>OPEN</t>
  </si>
  <si>
    <t>MBA-II (6205)</t>
  </si>
  <si>
    <t>MCA-III (6130)</t>
  </si>
  <si>
    <t xml:space="preserve">GRAND TOTAL </t>
  </si>
  <si>
    <t>COURSE</t>
  </si>
  <si>
    <t>MBA-I</t>
  </si>
  <si>
    <t>MBA-II</t>
  </si>
  <si>
    <t>MCA-III</t>
  </si>
  <si>
    <t>REFUNDABLE DEPOSIT</t>
  </si>
  <si>
    <t>Particular</t>
  </si>
  <si>
    <t>No. of Students</t>
  </si>
  <si>
    <t>Fees charged</t>
  </si>
  <si>
    <t>SALE OF PROSPECTUS</t>
  </si>
  <si>
    <t>COURSE NAME</t>
  </si>
  <si>
    <t>YEAR</t>
  </si>
  <si>
    <t>FEES PER STUDENTS</t>
  </si>
  <si>
    <t xml:space="preserve">MBA </t>
  </si>
  <si>
    <t>I</t>
  </si>
  <si>
    <t>TA Deduction</t>
  </si>
  <si>
    <t>Notice Pay Recovery</t>
  </si>
  <si>
    <t>Total Fees</t>
  </si>
  <si>
    <t xml:space="preserve">Actual Fee Received </t>
  </si>
  <si>
    <t xml:space="preserve">TOTAL </t>
  </si>
  <si>
    <t>STES Students Insurance</t>
  </si>
  <si>
    <t>STES Student Insurance</t>
  </si>
  <si>
    <t>Other Misc Exps.</t>
  </si>
  <si>
    <t>Sr.No.</t>
  </si>
  <si>
    <t>MBA I</t>
  </si>
  <si>
    <t>MBA II</t>
  </si>
  <si>
    <t>MCA III</t>
  </si>
  <si>
    <t>EXAM FEES</t>
  </si>
  <si>
    <t>Misc Receipts. ( Late Fine, Lib. Books &amp; others)</t>
  </si>
  <si>
    <t>Service Charges</t>
  </si>
  <si>
    <t>Amount</t>
  </si>
  <si>
    <t>MISC. INCOME</t>
  </si>
  <si>
    <t>ANNEXURE - 15</t>
  </si>
  <si>
    <t>Refund of Fees/Excess Fees</t>
  </si>
  <si>
    <t>Date</t>
  </si>
  <si>
    <t>Particulars</t>
  </si>
  <si>
    <t>SR. NO.</t>
  </si>
  <si>
    <t>PARTICULARS</t>
  </si>
  <si>
    <t>Postage &amp; Courier</t>
  </si>
  <si>
    <t>Repairs &amp; Maintanance</t>
  </si>
  <si>
    <t>ANNEXURE - 21</t>
  </si>
  <si>
    <t>ANNEXURE - 23</t>
  </si>
  <si>
    <t>ANNEXURE - 22</t>
  </si>
  <si>
    <t xml:space="preserve"> AFFILIATION FEES / REGN FEES</t>
  </si>
  <si>
    <t>Course</t>
  </si>
  <si>
    <t>Refund of Fees</t>
  </si>
  <si>
    <t>Per Month Gross Salary</t>
  </si>
  <si>
    <t>DHONGADE RASHMI RAJIV</t>
  </si>
  <si>
    <t>INAMDAR IRFAN SHARFODDIN</t>
  </si>
  <si>
    <t>BADGUJAR MANISHA DEEPAK</t>
  </si>
  <si>
    <t>NATH REENA PARTHA</t>
  </si>
  <si>
    <t>PATIL NILESH TANAJI</t>
  </si>
  <si>
    <t>SHAH SUNITA NIKHIL</t>
  </si>
  <si>
    <t>WANKHEDE SACHIN RUSHIKUMAR</t>
  </si>
  <si>
    <t>KALE SONALI GOPAL</t>
  </si>
  <si>
    <t>BAHIRAT NARAYAN MARUTI</t>
  </si>
  <si>
    <t>GADKARI RAMESH RAMCHANDRA</t>
  </si>
  <si>
    <t>GUND PRAKASH GANGARAM</t>
  </si>
  <si>
    <t>KAKADE DHARMARAJ TRIMBAK</t>
  </si>
  <si>
    <t>KALE GANESH BABAN</t>
  </si>
  <si>
    <t>PISE AJAY SAHADEV</t>
  </si>
  <si>
    <t>SHINGARE PRAKASH S.</t>
  </si>
  <si>
    <t>TATHE VAISHALI SUBHASH</t>
  </si>
  <si>
    <t>UDALE ANIL SHANKAR</t>
  </si>
  <si>
    <t>NAVALE KESHAV VISHNU</t>
  </si>
  <si>
    <t>Employers Cont To PF</t>
  </si>
  <si>
    <t>Admin Charges For PF</t>
  </si>
  <si>
    <t>Total Salary</t>
  </si>
  <si>
    <t>SR.NO.</t>
  </si>
  <si>
    <t>KURKUTE MAHENDRA MAHADEO</t>
  </si>
  <si>
    <t>PATIL SANJEEVANI NILESH</t>
  </si>
  <si>
    <t>LOKHANDE VISHAL GOVIND</t>
  </si>
  <si>
    <t>SHINDE KANCHAN AMOL</t>
  </si>
  <si>
    <t>BODKE ATUL BHALCHANDRA</t>
  </si>
  <si>
    <t>BAAD NAVNATH VASANT</t>
  </si>
  <si>
    <t>BANSODE SACHIN BHIMRAO</t>
  </si>
  <si>
    <t>BANSODE SANJAY BALU</t>
  </si>
  <si>
    <t>MISAL SUJIT INDRASEN</t>
  </si>
  <si>
    <t>KSHIRSAGAR BAPU VASANT</t>
  </si>
  <si>
    <t>LOHAR ANILKUMAR ARJUN</t>
  </si>
  <si>
    <t>ADATE ARUN MAHADEO</t>
  </si>
  <si>
    <t>MALI VIJAY SHANKAR</t>
  </si>
  <si>
    <t>POTPHODE NIVRUTI JALABA</t>
  </si>
  <si>
    <t>SHELKE RAMCHANDRA TUKARAM</t>
  </si>
  <si>
    <t>SHENVEKAR RAJU RAMCHANDRA</t>
  </si>
  <si>
    <t>GAIKWAD KALABAI VINAYAK</t>
  </si>
  <si>
    <t>GHANEKAR JIJABAI ARUN</t>
  </si>
  <si>
    <t>KUDALE LATA DILIP</t>
  </si>
  <si>
    <t>YADAV KALAVATI RAJENDRA</t>
  </si>
  <si>
    <t>NAVALE SARIKA RAHUL</t>
  </si>
  <si>
    <t>THOMBARE SUREKHA SATTU</t>
  </si>
  <si>
    <t>KOLEKAR SANJAY MARUTI</t>
  </si>
  <si>
    <t>LADDHA GAURAV BANKAT</t>
  </si>
  <si>
    <t>SARSAMBE SWAMINATH G.</t>
  </si>
  <si>
    <t>GADE SHITAL KASHINATH</t>
  </si>
  <si>
    <t>PIMPALKAR VIJAY RAMCHANDRA</t>
  </si>
  <si>
    <t>Student Welfare Exps.(various activities)</t>
  </si>
  <si>
    <t>REASEARCH &amp; DEVELOPMENT</t>
  </si>
  <si>
    <t>AMT Rs.</t>
  </si>
  <si>
    <t>Total Amt Rs.</t>
  </si>
  <si>
    <t>Amt Rs.</t>
  </si>
  <si>
    <t>Security Charges</t>
  </si>
  <si>
    <t>MBA Teaching &amp; Non-teaching staff</t>
  </si>
  <si>
    <t>MCA Teaching &amp; Non-teaching staff</t>
  </si>
  <si>
    <t>ANNEXURE - 10</t>
  </si>
  <si>
    <t>Name of Students</t>
  </si>
  <si>
    <t>Actual Fee Received</t>
  </si>
  <si>
    <t>Admission cancellation Charges</t>
  </si>
  <si>
    <t>No.of Students</t>
  </si>
  <si>
    <t>HADPAD SACHIN SHANKAR</t>
  </si>
  <si>
    <t>KALE VAIBHAV SADASHIV</t>
  </si>
  <si>
    <t>ADATE SUVARNA ARUN</t>
  </si>
  <si>
    <t>COWAN REBECCA JULIAN</t>
  </si>
  <si>
    <t>DAVKARE TULSA SHIVAJI</t>
  </si>
  <si>
    <t>MALI DHANAKKA MALLAPPA</t>
  </si>
  <si>
    <t>MANDEKAR ANJANNA HIRAMAN</t>
  </si>
  <si>
    <t>NAVALE GOVIND APPA</t>
  </si>
  <si>
    <t>SALVE DEEPAK KASHINATH</t>
  </si>
  <si>
    <t>TODKARI MALLIKARJUN DATTATRAYA</t>
  </si>
  <si>
    <t>JADHAV DATTATRAYA SHANKAR</t>
  </si>
  <si>
    <t>KILLEDAR AMITKUMAR VIJAY</t>
  </si>
  <si>
    <t>METKARI SHAILESH BHIMRAO</t>
  </si>
  <si>
    <t>Remuneration to Guest Lecturer</t>
  </si>
  <si>
    <t>Office Expenses</t>
  </si>
  <si>
    <t>Seminars &amp; Exhibition Expenses</t>
  </si>
  <si>
    <t>Guest Entertainement</t>
  </si>
  <si>
    <t>Advertisement &amp; Publicity</t>
  </si>
  <si>
    <t>Salaries</t>
  </si>
  <si>
    <t>Administrative Expenses for P.F.</t>
  </si>
  <si>
    <t>Amounts Written Off</t>
  </si>
  <si>
    <t>Inaugration Expences</t>
  </si>
  <si>
    <t>AMC For Salary Software</t>
  </si>
  <si>
    <t>Tally Service Charges</t>
  </si>
  <si>
    <t>Sinhgad Karandak Exp.</t>
  </si>
  <si>
    <t>Sports Expenses</t>
  </si>
  <si>
    <t>Student Welfare Expenses</t>
  </si>
  <si>
    <t>Toll Charges</t>
  </si>
  <si>
    <t>Transport Charges</t>
  </si>
  <si>
    <t>Telephone Expences</t>
  </si>
  <si>
    <t>Printing Charges</t>
  </si>
  <si>
    <t>Rent</t>
  </si>
  <si>
    <t>Water Supply , Testing &amp; Cleaning Charges</t>
  </si>
  <si>
    <t>Exhibition Expenses</t>
  </si>
  <si>
    <t>Bank Cheque Book Charges</t>
  </si>
  <si>
    <t>Bank Clearing Charges</t>
  </si>
  <si>
    <t>Diesel for Generator</t>
  </si>
  <si>
    <t>Electricity Expenses</t>
  </si>
  <si>
    <t>Grampanchayat Tax</t>
  </si>
  <si>
    <t>Non - Agriculture Tax</t>
  </si>
  <si>
    <t>Criket Ground Mait. Charges</t>
  </si>
  <si>
    <t>Vehicle Expenses</t>
  </si>
  <si>
    <t>Building Insurance</t>
  </si>
  <si>
    <t>Equipment &amp; Computers Insurance</t>
  </si>
  <si>
    <t>Industrial Visit Expenses</t>
  </si>
  <si>
    <t>Excess Fee</t>
  </si>
  <si>
    <t>Seminar/Workshop Registration Fees</t>
  </si>
  <si>
    <t>C</t>
  </si>
  <si>
    <t xml:space="preserve">Gymkhana Fee </t>
  </si>
  <si>
    <t xml:space="preserve">Medical Fees </t>
  </si>
  <si>
    <t>Exam exp against exam Grant</t>
  </si>
  <si>
    <t>Name of Student</t>
  </si>
  <si>
    <t>SR NO.</t>
  </si>
  <si>
    <t>NAME</t>
  </si>
  <si>
    <t>BHADALE RAJENDRA WAMANRAO</t>
  </si>
  <si>
    <t>BORGAVE SACHIN ANNASAHEB</t>
  </si>
  <si>
    <t>KAMBLE SATISH BABAN</t>
  </si>
  <si>
    <t>NAGTILAK ANIL DATTATRAY</t>
  </si>
  <si>
    <t>JADHAV RAJKUMAR RAMCHANDRA</t>
  </si>
  <si>
    <t>MCA  (TEACHING &amp; NON-TEACHING STAFF)</t>
  </si>
  <si>
    <t>PATIL URMILA VIKAS</t>
  </si>
  <si>
    <t>Uniform fee</t>
  </si>
  <si>
    <t>Consumables Exp</t>
  </si>
  <si>
    <t>Employers Contribution to PF</t>
  </si>
  <si>
    <t>Interest on  Delay  Payment</t>
  </si>
  <si>
    <t>Software Expenses</t>
  </si>
  <si>
    <t>Consultancy Fees</t>
  </si>
  <si>
    <t>Repairs to Furniture &amp; Fixtures</t>
  </si>
  <si>
    <t>Taxes and Insurance Charges</t>
  </si>
  <si>
    <t>Interest On Term Loan</t>
  </si>
  <si>
    <t>Repayment Of Term Loan</t>
  </si>
  <si>
    <t>Interest On Working Capital</t>
  </si>
  <si>
    <t>Sinhgad Cenral placement cell</t>
  </si>
  <si>
    <t>Fees Charged 
per student</t>
  </si>
  <si>
    <t>Eligibility Fees</t>
  </si>
  <si>
    <t>Eligibility Form Fees</t>
  </si>
  <si>
    <t>Eligibility Fees collected from students</t>
  </si>
  <si>
    <t>60% of share of Eligibility Fees Payable to University</t>
  </si>
  <si>
    <t xml:space="preserve">Add: Eligibility Form Fees </t>
  </si>
  <si>
    <t>Total Remittance to University</t>
  </si>
  <si>
    <t>Amount Remain for Distribution</t>
  </si>
  <si>
    <t>Institute's share 40%</t>
  </si>
  <si>
    <t>Amount Remain for Distribution to staff</t>
  </si>
  <si>
    <t>MBA MS Students</t>
  </si>
  <si>
    <t>MBA OMS Students</t>
  </si>
  <si>
    <t>Affiliation Fees - AICTE</t>
  </si>
  <si>
    <t>ANNEXURE - 12</t>
  </si>
  <si>
    <t>OFFICE EXPENSE</t>
  </si>
  <si>
    <t xml:space="preserve">Staff  Welfare Expense </t>
  </si>
  <si>
    <t>ANNEXURE - 9</t>
  </si>
  <si>
    <t>Actual Expenses</t>
  </si>
  <si>
    <t>Nil</t>
  </si>
  <si>
    <t>1)</t>
  </si>
  <si>
    <t>2)</t>
  </si>
  <si>
    <t>PROSPECTUS STOCK RECONCILIATION</t>
  </si>
  <si>
    <t>Quantity</t>
  </si>
  <si>
    <t>Rate</t>
  </si>
  <si>
    <t>Sr. Nos.</t>
  </si>
  <si>
    <t>Opening Stock of Prospectus</t>
  </si>
  <si>
    <t>3)</t>
  </si>
  <si>
    <t>SUBTOTAL (A)</t>
  </si>
  <si>
    <t>4)</t>
  </si>
  <si>
    <t>5)</t>
  </si>
  <si>
    <t>SUBTOTAL (B)</t>
  </si>
  <si>
    <t>6)</t>
  </si>
  <si>
    <t>BALANCE No. OF PROSPECTUS (A - B)</t>
  </si>
  <si>
    <t>Annx</t>
  </si>
  <si>
    <t>Alumini Expenses</t>
  </si>
  <si>
    <t>SINHGAD INSTITUTE OF BUSINESS ADMINISTRATION &amp; COMPUTER APPLICATION (SIBACA) , LONAVALA</t>
  </si>
  <si>
    <t>ACTUAL FEES RECEIVED:</t>
  </si>
  <si>
    <t xml:space="preserve">FEES RECEIVABLE FROM STUDENT:        </t>
  </si>
  <si>
    <t>FEES RECEIVABLE FROM SAMAJ KALYAN:</t>
  </si>
  <si>
    <t>ANNEXURE- 1</t>
  </si>
  <si>
    <t>Received</t>
  </si>
  <si>
    <t>SPPU Pro-Rata</t>
  </si>
  <si>
    <t>Fees Charged per student Rs.</t>
  </si>
  <si>
    <t>Total Fees Received Rs.</t>
  </si>
  <si>
    <t xml:space="preserve">Per Student Fees payable to University </t>
  </si>
  <si>
    <t xml:space="preserve">Total Fees payable to University </t>
  </si>
  <si>
    <t xml:space="preserve">Total </t>
  </si>
  <si>
    <t>EXCESS FEES</t>
  </si>
  <si>
    <t>Excess Fees Received</t>
  </si>
  <si>
    <t>Balance Excess Fees</t>
  </si>
  <si>
    <t>Refund of Excess Fees</t>
  </si>
  <si>
    <t>ANNEXURE - 7</t>
  </si>
  <si>
    <t>SEMINAR &amp; WORKSHOP REGISTRATION FEES</t>
  </si>
  <si>
    <t>DETAILS OF REGISTRATION FEES</t>
  </si>
  <si>
    <t>National Level Seminar under QIP</t>
  </si>
  <si>
    <t>ANNEXURE - 8</t>
  </si>
  <si>
    <t>SPPU GRANTS FOR EXAMINATION</t>
  </si>
  <si>
    <t>DETAILS OF GRANTS RECEIVED FROM SPPU</t>
  </si>
  <si>
    <t>SPPU GRANTS FOR SEMINAR &amp; WORKSHOP</t>
  </si>
  <si>
    <t>SPPU Grants for Examination</t>
  </si>
  <si>
    <t>SPPU Grants for Seminar &amp; Workshop</t>
  </si>
  <si>
    <t>SPPU Grants for Tools &amp; Equipments</t>
  </si>
  <si>
    <t>ANNEXURE - 11</t>
  </si>
  <si>
    <t>SPPU GRANTS FOR EQUIPMENT &amp; TOOLS</t>
  </si>
  <si>
    <t>DETAILS OF MISC. INCOME</t>
  </si>
  <si>
    <t>MBA Dual Specialization</t>
  </si>
  <si>
    <t>ADMISSION CANCELLATION CHARGES</t>
  </si>
  <si>
    <t>ANNEXURE - 2</t>
  </si>
  <si>
    <t>ANNEXURE - 3</t>
  </si>
  <si>
    <t>ANNEXURE - 4</t>
  </si>
  <si>
    <t>ANNEXURE - 5</t>
  </si>
  <si>
    <t>ANNEXURE - 6</t>
  </si>
  <si>
    <t>ANNEXURE - 13</t>
  </si>
  <si>
    <t>TOOLS &amp; EQUIPMENT</t>
  </si>
  <si>
    <t>Qty.</t>
  </si>
  <si>
    <t>LIBRARY BOOKS</t>
  </si>
  <si>
    <t>ANNEXURE - 14</t>
  </si>
  <si>
    <t>FURNITURE &amp; FIXTURE</t>
  </si>
  <si>
    <t>ANNEXURE - 16</t>
  </si>
  <si>
    <t>SALARY &amp; WAGES</t>
  </si>
  <si>
    <t>Total Amount</t>
  </si>
  <si>
    <t>SIBACA, Lonavala</t>
  </si>
  <si>
    <t>Total Amount (A)</t>
  </si>
  <si>
    <t>Total Amount (B)</t>
  </si>
  <si>
    <t>Grand Total (A+B)</t>
  </si>
  <si>
    <t xml:space="preserve">SIBACA,Lonavala </t>
  </si>
  <si>
    <t>Printing &amp; Stationary</t>
  </si>
  <si>
    <t xml:space="preserve">Total Amount </t>
  </si>
  <si>
    <t>Student Welfare Expense</t>
  </si>
  <si>
    <t>Alumini Expense</t>
  </si>
  <si>
    <t>Repairs &amp; Mantainance Expense</t>
  </si>
  <si>
    <t>Cleaning Expense</t>
  </si>
  <si>
    <t>ANNEXURE - 17</t>
  </si>
  <si>
    <t>ANNEXURE - 19</t>
  </si>
  <si>
    <t>EXAM  EXPENSES AGAINST EXAM GRANT</t>
  </si>
  <si>
    <t>Research &amp; Development</t>
  </si>
  <si>
    <t>MBA  (TEACHING &amp; NON-TEACHING STAFF)</t>
  </si>
  <si>
    <t>KALASKAR PRASHANT BALKISHAN</t>
  </si>
  <si>
    <t>Salary per month</t>
  </si>
  <si>
    <t>GRAND TOTAL (MBA+MCA)</t>
  </si>
  <si>
    <t>SIBACA Research Centre</t>
  </si>
  <si>
    <t>SIBACA RESEARCH CENTRE (PH.D.) &amp; MBA DUAL SPECIALIZATION</t>
  </si>
  <si>
    <t>Alumini Registration Fee</t>
  </si>
  <si>
    <t>ALUMINI REGISTRATION FEE</t>
  </si>
  <si>
    <t>DETAILS OF ALUMINI REGISTRATION FEE</t>
  </si>
  <si>
    <t>NEWSPAPER EXPENSE</t>
  </si>
  <si>
    <t>JOURNALS &amp; PERIODICALS EXPENSE</t>
  </si>
  <si>
    <t>ANNEXURE - 18</t>
  </si>
  <si>
    <t>Committee visit expenses</t>
  </si>
  <si>
    <t>Gathering ,Cultural &amp; Function Expenses</t>
  </si>
  <si>
    <t>Seminar &amp; Exhibition Expenses</t>
  </si>
  <si>
    <t>ANNEXURE - 26</t>
  </si>
  <si>
    <t>ANNEXURE - 28</t>
  </si>
  <si>
    <t>ANNEXURE - 29</t>
  </si>
  <si>
    <t>ANNEXURE - 30</t>
  </si>
  <si>
    <t>ANNEXURE - 31</t>
  </si>
  <si>
    <t>ANNEXURE - 32</t>
  </si>
  <si>
    <t>University Medical Fees Receipt :</t>
  </si>
  <si>
    <t>ELIGIBILITY FEES  FOR SAVITRIBAI PHULE PUNE UNIVERSITY</t>
  </si>
  <si>
    <t>TA BILL PAID TO SARIKA NAVALE</t>
  </si>
  <si>
    <t>ANNEXURE - 20</t>
  </si>
  <si>
    <t>CHAVAN KEDAR DHONDIRAM</t>
  </si>
  <si>
    <t xml:space="preserve">Total Fees paid to University </t>
  </si>
  <si>
    <t>Total Amount (A+B)</t>
  </si>
  <si>
    <t>NATIONAL CONFERENCE EXPENSES</t>
  </si>
  <si>
    <t>GUEST REMUNERATION PAID -NATIONAL CONFERENCE</t>
  </si>
  <si>
    <t xml:space="preserve"> AUDIT FEES OF BILL FILE</t>
  </si>
  <si>
    <t>ANNEXURE - 24</t>
  </si>
  <si>
    <t>Stationary</t>
  </si>
  <si>
    <t>Repairs &amp; Maintainance  to Fixture  &amp; other</t>
  </si>
  <si>
    <t>Cleaning Expenses</t>
  </si>
  <si>
    <t>ANNEXURE - 33</t>
  </si>
  <si>
    <t>ANNEXURE - 34</t>
  </si>
  <si>
    <t>ANNEXURE - 35</t>
  </si>
  <si>
    <t>Student Insurance Fees Receipt &amp; Payment :</t>
  </si>
  <si>
    <t>Fees Paid</t>
  </si>
  <si>
    <t xml:space="preserve">Paid </t>
  </si>
  <si>
    <t>Payable</t>
  </si>
  <si>
    <t>University Pro-rata Fees Receipt &amp; Payment :</t>
  </si>
  <si>
    <t>Staff Welfare Expenses</t>
  </si>
  <si>
    <t>Faculty Development Programme</t>
  </si>
  <si>
    <t xml:space="preserve">Total Amount (A) </t>
  </si>
  <si>
    <t>Fees per student</t>
  </si>
  <si>
    <t xml:space="preserve">Fee Receivable </t>
  </si>
  <si>
    <t>Training &amp; Placement Expense</t>
  </si>
  <si>
    <t>ANNEXURE - 36</t>
  </si>
  <si>
    <t>SOFTWARE EXPENSES</t>
  </si>
  <si>
    <t>ANNEXURE - 37</t>
  </si>
  <si>
    <t>Other Equipment Maintainance</t>
  </si>
  <si>
    <t>OPEN EBC</t>
  </si>
  <si>
    <t>OPEN YD 15-16</t>
  </si>
  <si>
    <t>FEES RECEIVABLE FROM DTE EBC:</t>
  </si>
  <si>
    <t>PROPOSED FEES DETAILS FOR THE A.Y. 2019-20</t>
  </si>
  <si>
    <t>Receipt 2018-19</t>
  </si>
  <si>
    <t>Proposed Receipt 2019-20</t>
  </si>
  <si>
    <t>Payment 2018-19</t>
  </si>
  <si>
    <t>Proposed Payment 2019-20</t>
  </si>
  <si>
    <t>FEES DETAILS FOR THE A.Y. 2018-19 UP TO 31.03.2019</t>
  </si>
  <si>
    <t>Student Activity Fees Receipt :</t>
  </si>
  <si>
    <t>Student Credit Base Course Fees Receipt :</t>
  </si>
  <si>
    <t>Student Training Programme Fees Receipt :</t>
  </si>
  <si>
    <t>Eligibility Fees for 2018-19 - Receipts and Payment details</t>
  </si>
  <si>
    <t>Proposed Eligibility Fees for 2019-20 - Receipts and Payment details</t>
  </si>
  <si>
    <t>MBA Dual MS Students</t>
  </si>
  <si>
    <t>MBA Dual OMS Students</t>
  </si>
  <si>
    <t>Ph.D. Students</t>
  </si>
  <si>
    <t>ACTUAL EXAM FEES FOR THE PERIOD 01-04-18 TO 31-03-19</t>
  </si>
  <si>
    <t>PROPOSED EXAM FEES FOR THE PERIOD 01-04-19 TO 31-03-20</t>
  </si>
  <si>
    <t>MBA Dual</t>
  </si>
  <si>
    <t>Total Fees Received</t>
  </si>
  <si>
    <t>Ph.D.Students</t>
  </si>
  <si>
    <t>MBA- Dual Specialization</t>
  </si>
  <si>
    <t>Actual Refundable Deposit For The Year 2018-19</t>
  </si>
  <si>
    <t>Proposed Refundable Deposit For The Year 2019-20</t>
  </si>
  <si>
    <t>FOR THE PERIOD FROM 01/04/2018 TO 31/03/2019</t>
  </si>
  <si>
    <t>Rohit Hemant Patil</t>
  </si>
  <si>
    <t>Hemant Damabare</t>
  </si>
  <si>
    <t>Nishant Vanjari</t>
  </si>
  <si>
    <t>Prachi Gandhile</t>
  </si>
  <si>
    <t>Ruturaj Deshmukh</t>
  </si>
  <si>
    <t>DETAILS OF ADMISSION CANCELLATION CHARGES FOR 2018-19</t>
  </si>
  <si>
    <t>DETAILS OF EXCESS FEES- RECEIPT &amp; PAYMENT FOR THE A.Y.2018-19</t>
  </si>
  <si>
    <t>Ashish Dahake</t>
  </si>
  <si>
    <t>Tanya Gupta</t>
  </si>
  <si>
    <t>Roland Lopez</t>
  </si>
  <si>
    <t>Mahesh Kadam</t>
  </si>
  <si>
    <t>Nitin Solunke</t>
  </si>
  <si>
    <t>FEES SUMMERY FOR MBA FOR THE A.Y. 2018-19</t>
  </si>
  <si>
    <t>NO OF STUDENTS</t>
  </si>
  <si>
    <t xml:space="preserve">ACTUAL RECEIVED 01/04/2018 TO 30/09/2018 </t>
  </si>
  <si>
    <t>30.09.2017</t>
  </si>
  <si>
    <t>Printing of Brochures</t>
  </si>
  <si>
    <t>Add: Printed in 2017-18</t>
  </si>
  <si>
    <t>Less: Used / Sold in 2018-19</t>
  </si>
  <si>
    <t>PG (MBA)</t>
  </si>
  <si>
    <t>Registration Fees for the Period 01.04.2018 to 31.03.2019</t>
  </si>
  <si>
    <t>Proposed Registration Fees for the Period 01.04.2019 to 31.03.2020</t>
  </si>
  <si>
    <t>SPPU Examination April/ May-2018</t>
  </si>
  <si>
    <t>SPPU Examination Oct/ Nov.-2018</t>
  </si>
  <si>
    <t>Grants received  for the Period 01.04.2018 to 31.03.2019</t>
  </si>
  <si>
    <t>Proposed Grants for the Period 01.04.2019 to 31.03.2020</t>
  </si>
  <si>
    <t xml:space="preserve">National Level Seminar Under QIP        </t>
  </si>
  <si>
    <t>Equipment Grant for Solar System under QIP</t>
  </si>
  <si>
    <t>Fees received  for the Period 01.04.2018 to 31.03.2019</t>
  </si>
  <si>
    <t>Proposed Fees for the Period 01.04.2019 to 31.03.2020</t>
  </si>
  <si>
    <t>Fees Charged per student</t>
  </si>
  <si>
    <t>Total No. of students</t>
  </si>
  <si>
    <t>86</t>
  </si>
  <si>
    <t>1000</t>
  </si>
  <si>
    <t>27</t>
  </si>
  <si>
    <t xml:space="preserve">MBA 2017-18 passout </t>
  </si>
  <si>
    <t>MCA 2017-18 passout</t>
  </si>
  <si>
    <t xml:space="preserve">MBA 2018-19 passout </t>
  </si>
  <si>
    <t>MCA 2018-19 passout</t>
  </si>
  <si>
    <t>111</t>
  </si>
  <si>
    <t>09</t>
  </si>
  <si>
    <t>Amount Rs.</t>
  </si>
  <si>
    <t>from SPPU for the F.Y.2018-19</t>
  </si>
  <si>
    <r>
      <rPr>
        <b/>
        <sz val="10"/>
        <rFont val="Bookman Old Style"/>
        <family val="1"/>
      </rPr>
      <t>Note :</t>
    </r>
    <r>
      <rPr>
        <sz val="10"/>
        <rFont val="Bookman Old Style"/>
        <family val="1"/>
      </rPr>
      <t xml:space="preserve"> Proposed Grant includes sanctioned National seminar Grant Receivable </t>
    </r>
  </si>
  <si>
    <t>Actual received  for the Period 01.04.2018 to 31.03.2019</t>
  </si>
  <si>
    <t>Proposed Income for the Period 01.04.2019 to 31.03.2020</t>
  </si>
  <si>
    <t>Actual Expenses  for the Period 01.04.2018 to 31.03.2019</t>
  </si>
  <si>
    <t>DETAILS OF PROPOSED EQUIPMENTS &amp; TOOLS REQUIREMENT FOR THE YEAR 2019-20</t>
  </si>
  <si>
    <t>Solar System purchased against SPPU grant- College Contribution</t>
  </si>
  <si>
    <t>Rate per Unit</t>
  </si>
  <si>
    <t>-</t>
  </si>
  <si>
    <t>Proposed  Expenses for the Period 01.04.2019 to 31.03.2020</t>
  </si>
  <si>
    <t>DETAILS OF LIBRARY BOOKS PURCHASED DURING THE YEAR 2018-19</t>
  </si>
  <si>
    <t>Op. Stock as on 01/04/2018</t>
  </si>
  <si>
    <t>For MBA  Course</t>
  </si>
  <si>
    <t>For Ph.D. Research centre</t>
  </si>
  <si>
    <t>DETAILS OF PROPOSED LIBRARY BOOKS REQUIREMENT FOR THE YEAR 2019-20</t>
  </si>
  <si>
    <t>Actual Received 01.04.2018 to 31.03.2019 in Rs.</t>
  </si>
  <si>
    <t>Proposed Expenses For  01.04.2019 to 31.03.2020 in Rs.</t>
  </si>
  <si>
    <t>1,99,05,384 Opening stock as on 01.04.2018</t>
  </si>
  <si>
    <t>Actual Expense 01.04.2018 to 31.03.2019 in Rs.</t>
  </si>
  <si>
    <t>Proposed Expenses 01.04.2019 to 31.03.2020 in Rs.</t>
  </si>
  <si>
    <t xml:space="preserve">Proposed Expenses for 01.04.2019 to 31.03.2020 in Rs.  </t>
  </si>
  <si>
    <t>Actual Expenses 01.04.2018 to 31.03.2019  in Rs.</t>
  </si>
  <si>
    <t>KHAWAJA MUBEENUR RAHMAN</t>
  </si>
  <si>
    <t>BHATI RAKESHKUMAR</t>
  </si>
  <si>
    <t>INAMDAR VIKAS HEMANT</t>
  </si>
  <si>
    <t>RANA AMIT SHRIKANT</t>
  </si>
  <si>
    <t>SAYYED SHAGUFTA</t>
  </si>
  <si>
    <t>SHAMKUWAR PREETI SONAL</t>
  </si>
  <si>
    <t>INDI RAJVARDHAN</t>
  </si>
  <si>
    <t>BHANDARE PRADNYA N.</t>
  </si>
  <si>
    <t>GANDHI HARSHA A.</t>
  </si>
  <si>
    <t>NAVALE SAMRUDHI ASHWIN</t>
  </si>
  <si>
    <t>PATIL PRAKASH RAMCHANDRA</t>
  </si>
  <si>
    <t>MASAL TAI SATYAWAN</t>
  </si>
  <si>
    <t>SALARY ANNEXURE - 19</t>
  </si>
  <si>
    <t>Actual Expense 01.04.18 to 31-03-19 in Rs.</t>
  </si>
  <si>
    <t>Proposed Expense 01-04-19 to 31-03-20 in Rs.</t>
  </si>
  <si>
    <t>Remuneration to Guest Speaker</t>
  </si>
  <si>
    <t>21.08.2018</t>
  </si>
  <si>
    <t>Remuneration Paid to Praveen Kumar  on Alumini Talk- Industry Expectation from Freshers</t>
  </si>
  <si>
    <t>21.09.2018</t>
  </si>
  <si>
    <t>Remuneration Paid to Vishal Sisodia on Time Management</t>
  </si>
  <si>
    <t>1</t>
  </si>
  <si>
    <t>2</t>
  </si>
  <si>
    <t>3</t>
  </si>
  <si>
    <t>Proposed Expense 01.04.2019 to 31.03.2020 in Rs.</t>
  </si>
  <si>
    <t>13.02.2019</t>
  </si>
  <si>
    <t>Remuneration Paid to Vikramsingh Bisen on Personality Transformation Course of 03 days for MBA students.</t>
  </si>
  <si>
    <t>29.03.2019</t>
  </si>
  <si>
    <t>Remuneration Paid to Shweta Chairvi &amp; Honney Kumari  on Alumini Talk- Current Trends in Corporate</t>
  </si>
  <si>
    <t>Proposed Expenses from 1-Apr-2019 to 31-March-2020</t>
  </si>
  <si>
    <t>TRAVELLING &amp; COVEYANCE</t>
  </si>
  <si>
    <t>TA BILL PAID TO NARAYAN BAHIRAT FOR GOING TO POLICE STATION TO SUBMIT LETTER</t>
  </si>
  <si>
    <t>TA BILL PAID TO ATUL BODKE  FOR PURCHASE STAMP PAPER AND COURIER LETTER</t>
  </si>
  <si>
    <t>TA BILL PAID TO MALIKARJUNE TODKARI FOR PURCHASE CHIKKI FOR GUEST</t>
  </si>
  <si>
    <t>TA BILL PAID TO PRAKASH PATIL FOR TDS RETURN FILLLING AT PUNE</t>
  </si>
  <si>
    <t>TA BILL PAID TRVELING BYE OWN BIKE  FOR PURCHASE ADAPTOR  (RFID MACHINE)</t>
  </si>
  <si>
    <t>TA BILL PAID TO PRAKASH PATIL  FOR GOING TO KARVE ROAD FOR GST TRAINING ON 29.5.18</t>
  </si>
  <si>
    <t>TA BILL PAID TO PRAKASH PATIL  FOR GOING TO KARVE ROAD FOR GST TRAINING ON 30.5.18</t>
  </si>
  <si>
    <t>TA BILL PAID TO PRAKASH PATIL  FOR GOING TO KARVE ROAD FOR GST TRAINING ON 28.5.18</t>
  </si>
  <si>
    <t>TA BILL PAID  TO AMIT KILLEDAR FOR GOING TO PUNE FOR PPT WORK ON 2.5.18 &amp;4.5.18</t>
  </si>
  <si>
    <t>TA BILL PAID TO  SARIKA NAVALE GOING TO SPPU FOR AFFILATION LETTER AND SOLVE ONLINE QUERRY FOR YEAR 2014-15</t>
  </si>
  <si>
    <t>TA BILL RECD FROM MR. ATUL BODAKE FOR VARIOUSWORK AT PUNE.</t>
  </si>
  <si>
    <t>TA BILL PAID TO ATUL BODAKE FOR BANK WORK AT LONAVALA</t>
  </si>
  <si>
    <t>BEING EXPENSES MADE FOR TRAVELLING  TO GHODEGAON PUNE FOR SWD WORK</t>
  </si>
  <si>
    <t>BEING EXPENSES MADE FOR TRAVELLING TO NARHE  FOR MBA FC CENTER DUTY</t>
  </si>
  <si>
    <t>TA BILL RECD FROM ATUL BODAKE</t>
  </si>
  <si>
    <t>ADVANCE CLEARED BY VISHAL LOKHANDE AGAINST TOLL CHARGES &amp; LUNCH CHARGES OF DRIVER GOING ARC FOR ADMISSION CONFIRMATION OF MBA STUDENTS</t>
  </si>
  <si>
    <t>TA BILL PAID TO D.S. JADHAV</t>
  </si>
  <si>
    <t>TA BILL RECD FROM ATUL BODAKE GOING TO PUNE UNIVERITY WORK</t>
  </si>
  <si>
    <t>TA BILL PAID TO ATUL BODAKE FOR GOING TO LONAVALA</t>
  </si>
  <si>
    <t>TA BILL RECD FROM BHATI RAKESH GOING TO ERANDWANE FOR 02 DAYS</t>
  </si>
  <si>
    <t xml:space="preserve">PETROL BILL PAID TO REBECCA COWAN </t>
  </si>
  <si>
    <t>Actual Expenses from 1-Apr-2018 to 31-March-2019</t>
  </si>
  <si>
    <t>TA BILL PAID TO PRAKASH PATIL</t>
  </si>
  <si>
    <t>TA BILL PAID TO PRAKASH PATIL &amp; SANJAY BANSODE FOR GOING TO SPPU EXAM BILL FILE AUDIT &amp; BUDGET PPT WORK AT SKNSSBM,PUNE</t>
  </si>
  <si>
    <t>TA BILL PAID TO RAKESH BHATI TO ATTEND MEETING OF ELECTION</t>
  </si>
  <si>
    <t>TA BILL PAID TO VISHAL LOKHANDE</t>
  </si>
  <si>
    <t>TA BILL PAID TO PRADNYA BHANDARE</t>
  </si>
  <si>
    <t>TA BILL PAID TO PRAKASH PATIL TO ATTENT LMC MEETING AT KARVE ROAD &amp; PPT WORK AT SKNSSBM,PUNE</t>
  </si>
  <si>
    <t>DASSERA POOJA EXPENSES MADE AS PER ATTACHED BILLS</t>
  </si>
  <si>
    <t>TA BILL PAID TO PRAKASH PATIL GOING TO FRA PROPOSAL AT KARVE ROAD PUNE</t>
  </si>
  <si>
    <t>TA BILL PAID TO MRS.SARIKA NAVALE</t>
  </si>
  <si>
    <t>TA BILL PAID TO PROF RAKESH BHATI TO ATTEND AMCAT MEETING AT SIOM PUNE.</t>
  </si>
  <si>
    <t>TA BILL PAID TO SANJAY BANSODE GOIUNG PUNE UNIVERSITY FOR EXAM BILL SUBMISSION</t>
  </si>
  <si>
    <t>TA BILL PAID TO VAIBHAV KALE TO ATTEND PLACEMENT MEETING AT CPC,PUNE</t>
  </si>
  <si>
    <t>TA BILL PAID TO SACHIN WANKHEDE TO ATTEND PLACEMENT MEETING AT CPC,PUNE</t>
  </si>
  <si>
    <t>TA BILL  RECD FROM ATUL BODAKE</t>
  </si>
  <si>
    <t>PETROL EXPENSE PAID TO M.D.TODKARI BANK WORK AT LONAVALA</t>
  </si>
  <si>
    <t>AUTO CHARGES PAID TO VIKAS INAMDAR WORK AT STES KARVE ROAD PUNE</t>
  </si>
  <si>
    <t>TA BILL PAID TO PRASHANT KALASKAR</t>
  </si>
  <si>
    <t>TA BILL PAID TO PRAKASH PATIL BANK WORK AT LONAVALA</t>
  </si>
  <si>
    <t xml:space="preserve">TA BILLs RECD FROM ATUL BODAKE </t>
  </si>
  <si>
    <t>PETROL EXPENSE PAID TO PRAKASH PATIL AGAINST DIWALI  CELEBRATION EVENT MATERIAL PURCHASED AT LONAVALA</t>
  </si>
  <si>
    <t>TA BILL PAID TO RAMESH GADKARI FOR LETTER SEND TO POLICE STATION LONAVALA REGARDING EXAM SECTION.</t>
  </si>
  <si>
    <t>TA BILLSRECD FROM MR.ATUL BODAKE  GOING PUNE, DTE &amp; UNIVERSITY WORK</t>
  </si>
  <si>
    <t>PAYMENT MADE TO PRAKASH PATIL AGAINST TA BILL &amp; BANK CHARGES TO PAYMENT MADE TO PNS.</t>
  </si>
  <si>
    <t>TA bill paid to Rakesh Bhati to attend the Sinhgad Sports Karandak Event on 07.01.2019 &amp; 09.01.2019</t>
  </si>
  <si>
    <t>TA BILLS RECD FROM ATUL BODAKE GOING TO UNIVERSITY , SCHOLARSHIP &amp; DTE WORK AT PUNE</t>
  </si>
  <si>
    <t>PETROL EXPENSE PAID TO MALLIKARJUN TODKARI.</t>
  </si>
  <si>
    <t xml:space="preserve">TRAVELLING EXPENSE PAID TO PRAKASH PATIL FOR GOING TO CANARA BANK LONAVALA </t>
  </si>
  <si>
    <t>PETROL EXPENSE PAID PRAKASH PATIL FOR AICTE WORK AT LONAVALA</t>
  </si>
  <si>
    <t>AMOUNT PAID TO M.D.TODKARI FOR PETROL EXP.</t>
  </si>
  <si>
    <t>TA bill recd from Prakash Patil to attend GST meeting at karve road</t>
  </si>
  <si>
    <t xml:space="preserve">Newspaper bill </t>
  </si>
  <si>
    <t>Proposed Newspaper details :</t>
  </si>
  <si>
    <t>Times of India</t>
  </si>
  <si>
    <t>Economic Times</t>
  </si>
  <si>
    <t>Business Standard</t>
  </si>
  <si>
    <t>Jaykar Library Membership (SPPU)</t>
  </si>
  <si>
    <t>British Library Membership (SPPU)</t>
  </si>
  <si>
    <t xml:space="preserve">E-Journal Proquest </t>
  </si>
  <si>
    <t>EBSCO/ Pro-quest (Database) E-Journal</t>
  </si>
  <si>
    <t>Cultural Activities &amp; Sinhgad Karandak 2018-19</t>
  </si>
  <si>
    <t>Dassera Pooja Expenses</t>
  </si>
  <si>
    <t>Annual Cultural Activity - "Megh Malhar " expenses &amp; Sinhgad Karandak Expenses</t>
  </si>
  <si>
    <t>25.03.2019</t>
  </si>
  <si>
    <t>19.10.2018</t>
  </si>
  <si>
    <t>01.11.2018</t>
  </si>
  <si>
    <t>Diwali celebration for students &amp; staff</t>
  </si>
  <si>
    <t>ANNEXURE - 25</t>
  </si>
  <si>
    <t>State Level Seminar under SPPU QIP Grant</t>
  </si>
  <si>
    <t>National Level Seminar under SPPU QIP Grant</t>
  </si>
  <si>
    <t>SPPU NATIONAL LEVEL SEMINAR : ESCIBS-2018</t>
  </si>
  <si>
    <t>LUNCH CHARGES OF PARTICIPANTS ON 05 &amp; 06.10.2018 - NATIONAL CONFERENCE</t>
  </si>
  <si>
    <t>03.01.2019</t>
  </si>
  <si>
    <t>PHOTOCOPY CHARGES FOR NATIONAL SEMINAR</t>
  </si>
  <si>
    <t>20.03.2019</t>
  </si>
  <si>
    <t xml:space="preserve">TATA SKY 01 MONTH RECHRGE MADE </t>
  </si>
  <si>
    <t>PURCHASED SUGAR</t>
  </si>
  <si>
    <t>REVENUE STAMP PURCHASED</t>
  </si>
  <si>
    <t xml:space="preserve">TDS RETURN FILLING CHARGES PAID </t>
  </si>
  <si>
    <t>PURCHASE  5V / 2A  ADAPTOR FOR RFID MACHINE</t>
  </si>
  <si>
    <t>PAID FOR MONTHLY TATA SKY RECHARGE</t>
  </si>
  <si>
    <t>PAID FOR HAVING LUNCH ON 5.5.18 FOR GOING TO BUDGET MEETING AND UOP WORK AT PUNE (DIRECTOR &amp; ACCOUNTANT)</t>
  </si>
  <si>
    <t xml:space="preserve">PURCHASED STAMP FOR ST CATEGORY </t>
  </si>
  <si>
    <t xml:space="preserve">TDS RETURN FILLING  CHARGES Q-1  PAID </t>
  </si>
  <si>
    <t>BEING PURCHASED SUTALI FOR RECORD KEEPING OF STORES BY IRFAN INAMDAR</t>
  </si>
  <si>
    <t>ACRALIC NAME PLATE PURCHASED FOR  DIRECTOR SIR</t>
  </si>
  <si>
    <t>PURCHASED BOUQUET OF WELCOMING OF DIRECTOR SIR</t>
  </si>
  <si>
    <t>PURCHASED REVENUE STAMP  400QTY.</t>
  </si>
  <si>
    <t>BILL NO 738, DATED 26.03.2018 LUNCH CHARGES PAID FOR GUESTS</t>
  </si>
  <si>
    <t>PURCHASE CHIKKI FOR GUEST</t>
  </si>
  <si>
    <t xml:space="preserve">BILL NO 736 &amp; 737 TEA &amp; SNACK EXAPENSE MADE FOR GUEST </t>
  </si>
  <si>
    <t xml:space="preserve">BILL NO 025 TEA &amp; SNACK EXAPENSE MADE FOR GUEST </t>
  </si>
  <si>
    <t xml:space="preserve">BILL NO 005 &amp; 006 TEA &amp; SNACK EXAPENSE MADE FOR GUEST </t>
  </si>
  <si>
    <t>01.10.2019</t>
  </si>
  <si>
    <t>TATA SKY RECHARGE 01 MONTH</t>
  </si>
  <si>
    <t>29.10.2018</t>
  </si>
  <si>
    <t>COTRACTOR Q-2 RETURN FILLING CHARGES</t>
  </si>
  <si>
    <t>31.10.2018</t>
  </si>
  <si>
    <t>PURCHASED REVENUE STAMP FOR SALARY SHEET</t>
  </si>
  <si>
    <t>19.12.2018</t>
  </si>
  <si>
    <t>25.01.2019</t>
  </si>
  <si>
    <t>31.01.2019</t>
  </si>
  <si>
    <t>PURCHASED 100/- STAMPS FOR AICTE WORK</t>
  </si>
  <si>
    <t>06.03.2019</t>
  </si>
  <si>
    <t>26.03.2019</t>
  </si>
  <si>
    <t>PURCHASED 100/- STAMPS FOR SCHOLARSHIP WORK</t>
  </si>
  <si>
    <t>NOTARY &amp; AFFIDAVIT CHARGES</t>
  </si>
  <si>
    <t>COTRACTOR Q-3 RETURN FILLING CHARGES</t>
  </si>
  <si>
    <t xml:space="preserve">BILL NO 023 &amp; 024 TEA &amp; SNACK EXAPENSE MADE FOR GUEST </t>
  </si>
  <si>
    <t xml:space="preserve">BILL NO 052 &amp; 053 TEA &amp; SNACK EXAPENSE MADE FOR GUEST </t>
  </si>
  <si>
    <t xml:space="preserve">BILL NO 058 &amp; 059 TEA &amp; SNACK EXAPENSE MADE FOR GUEST </t>
  </si>
  <si>
    <t xml:space="preserve">BILL NO 070,071 &amp; 072 TEA &amp; SNACK EXAPENSE MADE FOR GUEST </t>
  </si>
  <si>
    <t xml:space="preserve">BILL NO 257 TEA &amp; SNACK EXAPENSE MADE FOR GUEST </t>
  </si>
  <si>
    <t xml:space="preserve">BILL NO 192 &amp; 193 TEA &amp; SNACK EXAPENSE MADE FOR GUEST </t>
  </si>
  <si>
    <t>Printing &amp; Photocopy Charges</t>
  </si>
  <si>
    <t>11.05.2018</t>
  </si>
  <si>
    <t>PHOTOCOPY CHARGES,PRINTOUT &amp; SPIRAL BINDING AS PER BILL NO.923</t>
  </si>
  <si>
    <t>13.08.2018</t>
  </si>
  <si>
    <t>PHOTOCOPY CHARGES,PRINTOUT &amp; SPIRAL BINDING AS PER BILL NO.961</t>
  </si>
  <si>
    <t>18.09.2018</t>
  </si>
  <si>
    <t>PHOTOCOPY CHARGES,PRINTOUT &amp; SPIRAL BINDING AS PER BILL NO.971</t>
  </si>
  <si>
    <t>10.09.2018</t>
  </si>
  <si>
    <t>PRINTING CHARGES OF DIRECTORS VISITING CARD  &amp; STICKERS</t>
  </si>
  <si>
    <t>PURCHASED STATIONARY AS PER BILL NO.040</t>
  </si>
  <si>
    <t>PURCHASED STATIONARY AS PER BILL NO.041</t>
  </si>
  <si>
    <t>PURCHASED STAFF ATTENDANCE MUSTER AS PER BILL NO.21683</t>
  </si>
  <si>
    <t>PURCHASED SELF INK STAMP QTY.02 NO.</t>
  </si>
  <si>
    <t>PURCHASED NYLON RUBBER STAMP QTY.02 NO.</t>
  </si>
  <si>
    <t>PURCHASED STUDENT GENERAL REGISTER AS PER BILL NO.1906</t>
  </si>
  <si>
    <t>PURCHASED SERVICE BOOK</t>
  </si>
  <si>
    <t>Printing - Photocopy charges. Spiral Binding, visiting cards, envelops, letter heads  stickers etc.</t>
  </si>
  <si>
    <t>Stationery  -  Paper rims, files ,Rubber stamps etc.</t>
  </si>
  <si>
    <t>PRINTING CHARGES OF ENVELOPS 1000QTY. BILL NO.84</t>
  </si>
  <si>
    <t>06.02.2019</t>
  </si>
  <si>
    <t>PRINTING CHARGES OF  LETTERHEADS 10 BOOKS BILL NO.129</t>
  </si>
  <si>
    <t>PURCHASED PRINTED LACE WITH CARD HOLDERS 80 QTY FOR STUDENTS BILL NO.99</t>
  </si>
  <si>
    <t>PRINTING CHARGES RECD FROM STES LONAVALA FOR SCHOLARSHIP BANNER</t>
  </si>
  <si>
    <t>27.08.2018</t>
  </si>
  <si>
    <t>26.11.2018</t>
  </si>
  <si>
    <t>PHOTOCOPY CHARGES,PRINTOUT &amp; SPIRAL BINDING AS PER BILL NO.1019</t>
  </si>
  <si>
    <t>PHOTOCOPY CHARGES</t>
  </si>
  <si>
    <t>PHOTOCOPY AMC CHARGES BILL NO.3106</t>
  </si>
  <si>
    <t>10.12.2018</t>
  </si>
  <si>
    <t>PHOTOCOPY CHARGES,PRINTOUT &amp; SPIRAL BINDING AS PER BILL NO.1044</t>
  </si>
  <si>
    <t>09.01.2019</t>
  </si>
  <si>
    <t>18.01.2019</t>
  </si>
  <si>
    <t>28.02.2019</t>
  </si>
  <si>
    <t xml:space="preserve">PHOTOCOPY AMC CHARGES </t>
  </si>
  <si>
    <t>PHOTOCOPY AMC CHARGES BILL NO.4277</t>
  </si>
  <si>
    <t>08.03.2019</t>
  </si>
  <si>
    <t>PHOTOCOPY CHARGES,PRINTOUT &amp; SPIRAL BINDING AS PER BILL NO.1023</t>
  </si>
  <si>
    <t>31.03.2019</t>
  </si>
  <si>
    <t>PURCHASED STATIONARY AS PER BILL NO.052</t>
  </si>
  <si>
    <t>08.02.2019</t>
  </si>
  <si>
    <t>25.02.2019</t>
  </si>
  <si>
    <t>ANNEXURE -27</t>
  </si>
  <si>
    <t>Induction Programme</t>
  </si>
  <si>
    <t>TA BILL PAID TO ATTEND SPECTRUM BOX CRICKET EVENT AT AMBEGAON</t>
  </si>
  <si>
    <t>PURCHASED TENNIS BALL FOR SPECTRUM EVENT</t>
  </si>
  <si>
    <t>EXPENSES OF TREASURES HUNT EVENT</t>
  </si>
  <si>
    <t>Induction Pragrame MBA 2018-19</t>
  </si>
  <si>
    <t xml:space="preserve"> EXPENSES OF TEACHERS DAY CELEBRATION</t>
  </si>
  <si>
    <t>EXPENSES OF BHATKANTI EVENT FOR MBA STUDENTS</t>
  </si>
  <si>
    <t>30.09.2018</t>
  </si>
  <si>
    <t>EXPENSES FOR GREENATHON MARATHON -2018  EVENT FOR MBA STUDENTS</t>
  </si>
  <si>
    <t>27.11.2018</t>
  </si>
  <si>
    <t xml:space="preserve">EXPENSES OF HR MEET AT KOTHRUD ,PUNE </t>
  </si>
  <si>
    <t>EXPENSES OF WOMENS DAY &amp; SPECTRUM EVENT</t>
  </si>
  <si>
    <t>EXPENSES OF WOMENS DAY EVENT -SNACKS FOR STUDENTS</t>
  </si>
  <si>
    <t>EXPENSES OF CSR ACTIVITY AT SAMPARK BALGRAM ,LONAVALA</t>
  </si>
  <si>
    <t>INDUSTRIAL VISIT EXPENSES</t>
  </si>
  <si>
    <t>17.10.2018</t>
  </si>
  <si>
    <t>Total Amount (a)</t>
  </si>
  <si>
    <t>15.02.2019</t>
  </si>
  <si>
    <t>Sinhgad Sports Karandak Expenses</t>
  </si>
  <si>
    <t>Total Amount (b)</t>
  </si>
  <si>
    <t>Total Amount (c)</t>
  </si>
  <si>
    <t>Grand Total (a+b+c)</t>
  </si>
  <si>
    <t>1,00,000</t>
  </si>
  <si>
    <t>Alumini Meet Expenses</t>
  </si>
  <si>
    <t>Faculty Participation/ registration fee in various Programme</t>
  </si>
  <si>
    <t>MR SATISH KAMBLE &amp; VISHAL LOKHANDE ATTENDING  "KOHA AND LIBRARY AUTOMATION " WORKSHOP DATED 12.10.2018, HENCE REGISTRATION FEES PAID</t>
  </si>
  <si>
    <t>REGISTRATION FEES TO ATTEND STUDENT NATIONAL CONFERENCE ON 23RD FEB-2019 PAID TO SACHIN WANKHEDE</t>
  </si>
  <si>
    <t>REGISTRATION FEES TO CONDUCT WORKSHOP ON MOODLE BY KANCHAN SHINDE ON 15.03.2019</t>
  </si>
  <si>
    <t>REGISTRATION FEES PAID TO SUNITA SHAH  ON MOODLE WORKSHOP</t>
  </si>
  <si>
    <t>04.02.2019</t>
  </si>
  <si>
    <t>18.02.2019</t>
  </si>
  <si>
    <t>REGISTRATION FEES PAID TO PROF.K.M.RAHMAN TO ATTEND NATIONAL WORK SHOP ON 'BUSINESS ANALYTICS" DATED 13 &amp; 14 FEB-2019 AT PUNE.</t>
  </si>
  <si>
    <t>01.03.2019</t>
  </si>
  <si>
    <t>28.03.2019</t>
  </si>
  <si>
    <t xml:space="preserve">EXPENSES OF FDP PROGRAMME  ON "DESIGN THINKING" </t>
  </si>
  <si>
    <t>FDP PROGRAMME EXPENSES</t>
  </si>
  <si>
    <t>REGISTRATION FEES PAID TO MR.SATISH KAMBLE TO ATTEND SEMINAR AT IMCC,PUNE ON LIBRARY DEVELOPMENT PROGRAMME (LDP)</t>
  </si>
  <si>
    <t>PARTICIPATION FEE PAID FOR ATTENDING DELNET WORKSHOP AT PUNE ON 02.02.2019 TO MR.SATISH KAMBLE</t>
  </si>
  <si>
    <t>REGISTRATION FEES TO CONDUCT WORSHOP ON MOODLE AT AKURDI PUNE BY VISHAL LOKHANDE &amp; RAKESH BHATI ON 15.03.2019</t>
  </si>
  <si>
    <t>06 PERSONS MOODLE WORKSHOP PARTICIPATION FEES PAID BY SACHIN WANKHEDE CONDUCTED BY IIT ,MUMBAI AT SIT LONAVALA ON 15.03.2019</t>
  </si>
  <si>
    <t>Details of  Proposed Student Welfare Expense for the F.Y.2019-20</t>
  </si>
  <si>
    <t>Alumini connect with Freshers</t>
  </si>
  <si>
    <t>"Click" Activity</t>
  </si>
  <si>
    <t>CSR Social Activity</t>
  </si>
  <si>
    <t>Treasure Hunt</t>
  </si>
  <si>
    <t>Bhatkanti -Trekking around STES,Lonavala</t>
  </si>
  <si>
    <t>Prayas : CEO Journey</t>
  </si>
  <si>
    <t>Camp- Fire Night</t>
  </si>
  <si>
    <t>Business New Bulletin Compitition</t>
  </si>
  <si>
    <t>Womens Day Event</t>
  </si>
  <si>
    <t>Khari Kamai Event</t>
  </si>
  <si>
    <t>Parents Meet</t>
  </si>
  <si>
    <t>Poster Making Compition</t>
  </si>
  <si>
    <t>Face Painting Compitition</t>
  </si>
  <si>
    <t>Teachers Day</t>
  </si>
  <si>
    <t>Details of  Proposed Sports Expense for the F.Y.2019-20</t>
  </si>
  <si>
    <t>Indoor Games</t>
  </si>
  <si>
    <t>Outdoor Games- Choukat raja</t>
  </si>
  <si>
    <t>Greenathon</t>
  </si>
  <si>
    <t>Guest Session (3500/- x 4)</t>
  </si>
  <si>
    <t>Alumini Talk (1000/- x 4)</t>
  </si>
  <si>
    <t>Guest Speaker- Udyojak -An Enterpresneurship Development (5000/- x 2 )</t>
  </si>
  <si>
    <t>Industry Talks (5000/- x 4)</t>
  </si>
  <si>
    <t>Foundation Course (Eco , Finance &amp; Accounting )</t>
  </si>
  <si>
    <t>Membership of Profession Bodies</t>
  </si>
  <si>
    <t>Cleaning expenses</t>
  </si>
  <si>
    <t>Repairs &amp; Maintainance to asstes</t>
  </si>
  <si>
    <t>DETAILS OF PROPOSED REPAIRS &amp; MAINTAINANCE FOR THE YEAR 2019-20</t>
  </si>
  <si>
    <t>22.09.2018</t>
  </si>
  <si>
    <t>Main Door Lock Repairing</t>
  </si>
  <si>
    <t>24.09.2018</t>
  </si>
  <si>
    <t>Toilet Door Sliding Wheel Kit Purchased</t>
  </si>
  <si>
    <t>BILL. NO.073 DATED 31.03.2019  CLEANING MATERIAL PURCHASED.</t>
  </si>
  <si>
    <t>CONSUMABLE EXPENSES</t>
  </si>
  <si>
    <t>Consumble Expenses</t>
  </si>
  <si>
    <t>BILL NO.1091 DATED 08.05.2018  09 TONNER REFILLING &amp; DRUM AND BLADE CHANGE 2 NOS.</t>
  </si>
  <si>
    <t>PURCHASED CEMOS BATTERY AS PER BILL NO.648</t>
  </si>
  <si>
    <t xml:space="preserve">BILL NO.1139 DATED 21.09.2018  07 TONNER REFILLING &amp; DRUM AND BLADE CHANGE </t>
  </si>
  <si>
    <t>PURCHASED PEN DRIVE</t>
  </si>
  <si>
    <t>Service Charges of Thum Machine</t>
  </si>
  <si>
    <t xml:space="preserve">BILL NO.1190 DATED 28.02.2019  08 TONNER REFILLING &amp; DRUM AND BLADE CHANGE </t>
  </si>
  <si>
    <t>Details of Actual Consumble Expenses from 1-Apr-2018 to 31-March-2019</t>
  </si>
  <si>
    <t>Affiliation Fees - University</t>
  </si>
  <si>
    <t>DTE Fees (Intake in Reduction fees)</t>
  </si>
  <si>
    <t xml:space="preserve">FRA Processing Fee </t>
  </si>
  <si>
    <t xml:space="preserve">Pravesh Niyantran Samiti Processing Fee </t>
  </si>
  <si>
    <t>NAAC Accreditation Fees</t>
  </si>
  <si>
    <t xml:space="preserve">Training &amp; Placement </t>
  </si>
  <si>
    <t>PH.D.Research Centre Expenses</t>
  </si>
  <si>
    <t>Remark</t>
  </si>
  <si>
    <t>Pre Ph.D Presentation of Students For MKT FM Om &amp; CM</t>
  </si>
  <si>
    <t>Faculty Research Paper to be Published in National International Conference/ Journal with ISSN / ISBN, Impact Factor &amp; Citation Within One Academic Year.</t>
  </si>
  <si>
    <t xml:space="preserve">Pre-Ph.D. Thesis submission Presentations for Computer Management   students , Selection through Subject Expert (Subject Marketing Mgmt ,Finance Mgmt,Organization Mgmt &amp; Computer Mgmt)  </t>
  </si>
  <si>
    <t xml:space="preserve">Ph.D. Course Work – II  Progress Report  Presentations (Sub. - Marketing Mgmt, Finance Mgmt,Organization Mgmt &amp; Computer Mgmt.) </t>
  </si>
  <si>
    <t xml:space="preserve">Ph.D.  Course Work – III  Progress Report  Presentations (Sub. - Marketing Mgmt, Finance Mgmt,Organization Mgmt &amp; Computer Mgmt.) </t>
  </si>
  <si>
    <r>
      <t xml:space="preserve">Contribution of SIBACA Faculties Participation in Seminars / Workshops / Conferences &amp; FDP’s – </t>
    </r>
    <r>
      <rPr>
        <b/>
        <sz val="10"/>
        <color indexed="8"/>
        <rFont val="Bookman Old Style"/>
        <family val="1"/>
      </rPr>
      <t>Participation Fees</t>
    </r>
  </si>
  <si>
    <t>Proposed Expenditure for Research &amp; Development for F.Y.2019-20</t>
  </si>
  <si>
    <t>NAAC Accreditation Expense</t>
  </si>
  <si>
    <t>Transportation charges of NAAC Peer team</t>
  </si>
  <si>
    <t xml:space="preserve">5mm PVC sign Boards Purchased </t>
  </si>
  <si>
    <t>Flex &amp; Colour A3 Size Posters</t>
  </si>
  <si>
    <t>Hospitality &amp; Accomodation</t>
  </si>
  <si>
    <t>Photography</t>
  </si>
  <si>
    <t>Misc. Expense</t>
  </si>
  <si>
    <t>ANNEXURE - 38</t>
  </si>
  <si>
    <t>Software Expenses ( Slim Software Updation Charges)</t>
  </si>
  <si>
    <t>Exam Expenses  April/May 2018</t>
  </si>
  <si>
    <t>Exam Expenses Nov / Dec - 2018</t>
  </si>
  <si>
    <t>Admission Promotion Expenses</t>
  </si>
  <si>
    <t>ANNEXURE - 39</t>
  </si>
  <si>
    <t>ANNEXURE - 40</t>
  </si>
  <si>
    <t>ACTUAL FEES RECEIVED FROM SWD/ DTE:</t>
  </si>
  <si>
    <t>BUDGET ESTIMATED FOR                2018-19</t>
  </si>
  <si>
    <t>Student Credit Base Course</t>
  </si>
  <si>
    <t>Student Training Programme (STP)</t>
  </si>
  <si>
    <t>NAAC Accreditation Expenses</t>
  </si>
  <si>
    <t>Advetisement &amp; Publicity</t>
  </si>
  <si>
    <t>Misc.Exps.</t>
  </si>
  <si>
    <t>Prior Period Exps</t>
  </si>
  <si>
    <t>Misc. Receipts(Plz Spciefy)</t>
  </si>
  <si>
    <t>Function &amp; Festival Exps.</t>
  </si>
  <si>
    <t>Admission Promotional Activity</t>
  </si>
  <si>
    <t>Fuel Expenses</t>
  </si>
  <si>
    <t>Land Expenses</t>
  </si>
  <si>
    <t>Repairs To Buildings</t>
  </si>
  <si>
    <t>Repairs To Other</t>
  </si>
  <si>
    <t>Repairs Of Playground</t>
  </si>
  <si>
    <t>ACTUAL INCOME  01.04.2018 TO 31.03.2019</t>
  </si>
  <si>
    <t>ANNUAL BUDGET FOR 2019-20 (LMC)</t>
  </si>
  <si>
    <t>ACTUAL EXPENSES  01.04.18 TO 31.03.2019</t>
  </si>
  <si>
    <t>REVISED ESTIMATED FOR                  2018-19</t>
  </si>
  <si>
    <t xml:space="preserve">PROPOSED EXPENSES 2019-20 </t>
  </si>
  <si>
    <t>PROPOSED INCOME FOR  2019-20</t>
  </si>
  <si>
    <t xml:space="preserve">Purchased LCD Projector </t>
  </si>
  <si>
    <t>Cordless Mikes</t>
  </si>
  <si>
    <t>Digital Camera</t>
  </si>
  <si>
    <t>Expenses for Equipments</t>
  </si>
  <si>
    <t>ANNUAL BUDGET FOR 2019-20 (GB)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</si>
</sst>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&gt;=10000000]##\,##\,##\,##0;[&gt;=100000]##\,##\,##0;##,##0"/>
    <numFmt numFmtId="173" formatCode="_(* #,##0_);_(* \(#,##0\);_(* &quot;-&quot;??_);_(@_)"/>
    <numFmt numFmtId="174" formatCode="&quot;&quot;0.00"/>
    <numFmt numFmtId="175" formatCode="_(* #,##0.000_);_(* \(#,##0.000\);_(* &quot;-&quot;??_);_(@_)"/>
    <numFmt numFmtId="176" formatCode="_(* #,##0.0000_);_(* \(#,##0.0000\);_(* &quot;-&quot;??_);_(@_)"/>
    <numFmt numFmtId="177" formatCode="_(* #,##0.0_);_(* \(#,##0.0\);_(* &quot;-&quot;??_);_(@_)"/>
    <numFmt numFmtId="178" formatCode="0.0"/>
    <numFmt numFmtId="179" formatCode="[$-409]dddd\,\ mmmm\ dd\,\ yyyy"/>
    <numFmt numFmtId="180" formatCode="[$-409]h:mm:ss\ AM/PM"/>
    <numFmt numFmtId="181" formatCode="#,###,###"/>
    <numFmt numFmtId="182" formatCode="[$-409]d\-mmm\-yy;@"/>
    <numFmt numFmtId="183" formatCode="[$-809]dd\ mmmm\ 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&quot;0"/>
    <numFmt numFmtId="189" formatCode="[&gt;=10000000]##\,##\,##\,##0;[&gt;=100000]#\,##\,##0;##,##0"/>
    <numFmt numFmtId="190" formatCode="&quot;&quot;0.0"/>
    <numFmt numFmtId="191" formatCode="&quot;&quot;0.00&quot; Dr&quot;"/>
    <numFmt numFmtId="192" formatCode="&quot;&quot;0.00&quot; Cr&quot;"/>
    <numFmt numFmtId="193" formatCode="_(* #,##0.0000_);_(* \(#,##0.0000\);_(* &quot;-&quot;????_);_(@_)"/>
    <numFmt numFmtId="194" formatCode="dd\-mm\-yyyy"/>
  </numFmts>
  <fonts count="83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b/>
      <u val="single"/>
      <sz val="12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b/>
      <sz val="9"/>
      <name val="Bookman Old Style"/>
      <family val="1"/>
    </font>
    <font>
      <b/>
      <sz val="10"/>
      <color indexed="8"/>
      <name val="Bookman Old Style"/>
      <family val="1"/>
    </font>
    <font>
      <b/>
      <u val="single"/>
      <sz val="14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Bookman Old Style"/>
      <family val="1"/>
    </font>
    <font>
      <sz val="11"/>
      <color indexed="8"/>
      <name val="Bookman Old Style"/>
      <family val="1"/>
    </font>
    <font>
      <sz val="14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9"/>
      <color indexed="8"/>
      <name val="Bookman Old Style"/>
      <family val="1"/>
    </font>
    <font>
      <sz val="9"/>
      <color indexed="8"/>
      <name val="Bookman Old Style"/>
      <family val="1"/>
    </font>
    <font>
      <b/>
      <u val="single"/>
      <sz val="11"/>
      <color indexed="8"/>
      <name val="Bookman Old Style"/>
      <family val="1"/>
    </font>
    <font>
      <b/>
      <u val="single"/>
      <sz val="10"/>
      <color indexed="8"/>
      <name val="Bookman Old Style"/>
      <family val="1"/>
    </font>
    <font>
      <b/>
      <i/>
      <sz val="10"/>
      <color indexed="8"/>
      <name val="Bookman Old Style"/>
      <family val="1"/>
    </font>
    <font>
      <i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u val="single"/>
      <sz val="12"/>
      <color indexed="8"/>
      <name val="Bookman Old Style"/>
      <family val="1"/>
    </font>
    <font>
      <i/>
      <sz val="9"/>
      <color indexed="8"/>
      <name val="Bookman Old Style"/>
      <family val="1"/>
    </font>
    <font>
      <sz val="12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sz val="11"/>
      <color theme="1"/>
      <name val="Bookman Old Style"/>
      <family val="1"/>
    </font>
    <font>
      <sz val="14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b/>
      <u val="single"/>
      <sz val="11"/>
      <color theme="1"/>
      <name val="Bookman Old Style"/>
      <family val="1"/>
    </font>
    <font>
      <b/>
      <u val="single"/>
      <sz val="10"/>
      <color theme="1"/>
      <name val="Bookman Old Style"/>
      <family val="1"/>
    </font>
    <font>
      <b/>
      <i/>
      <sz val="10"/>
      <color theme="1"/>
      <name val="Bookman Old Style"/>
      <family val="1"/>
    </font>
    <font>
      <i/>
      <sz val="10"/>
      <color theme="1"/>
      <name val="Bookman Old Style"/>
      <family val="1"/>
    </font>
    <font>
      <b/>
      <sz val="12"/>
      <color theme="1"/>
      <name val="Bookman Old Style"/>
      <family val="1"/>
    </font>
    <font>
      <sz val="10"/>
      <color rgb="FF000000"/>
      <name val="Bookman Old Style"/>
      <family val="1"/>
    </font>
    <font>
      <b/>
      <u val="single"/>
      <sz val="12"/>
      <color theme="1"/>
      <name val="Bookman Old Style"/>
      <family val="1"/>
    </font>
    <font>
      <i/>
      <sz val="9"/>
      <color theme="1"/>
      <name val="Bookman Old Style"/>
      <family val="1"/>
    </font>
    <font>
      <sz val="12"/>
      <color theme="1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6" fillId="0" borderId="10" xfId="0" applyFont="1" applyBorder="1" applyAlignment="1">
      <alignment vertical="center"/>
    </xf>
    <xf numFmtId="0" fontId="67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7" fillId="33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7" fillId="0" borderId="0" xfId="0" applyFont="1" applyAlignment="1">
      <alignment/>
    </xf>
    <xf numFmtId="0" fontId="67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89" fontId="66" fillId="0" borderId="0" xfId="0" applyNumberFormat="1" applyFont="1" applyAlignment="1">
      <alignment/>
    </xf>
    <xf numFmtId="0" fontId="6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14" fontId="4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173" fontId="3" fillId="33" borderId="10" xfId="42" applyNumberFormat="1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/>
    </xf>
    <xf numFmtId="173" fontId="4" fillId="33" borderId="13" xfId="42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6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1" fontId="8" fillId="0" borderId="10" xfId="0" applyNumberFormat="1" applyFont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69" fillId="0" borderId="0" xfId="0" applyFont="1" applyAlignment="1">
      <alignment/>
    </xf>
    <xf numFmtId="49" fontId="70" fillId="0" borderId="0" xfId="0" applyNumberFormat="1" applyFont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173" fontId="3" fillId="0" borderId="10" xfId="42" applyNumberFormat="1" applyFont="1" applyBorder="1" applyAlignment="1">
      <alignment vertical="center"/>
    </xf>
    <xf numFmtId="173" fontId="4" fillId="0" borderId="10" xfId="42" applyNumberFormat="1" applyFont="1" applyBorder="1" applyAlignment="1">
      <alignment vertical="center"/>
    </xf>
    <xf numFmtId="0" fontId="71" fillId="0" borderId="10" xfId="0" applyFont="1" applyBorder="1" applyAlignment="1">
      <alignment horizontal="center" vertical="center" wrapText="1"/>
    </xf>
    <xf numFmtId="49" fontId="72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14" fontId="73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1" fontId="8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" fontId="3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 wrapText="1"/>
    </xf>
    <xf numFmtId="188" fontId="67" fillId="0" borderId="10" xfId="0" applyNumberFormat="1" applyFont="1" applyBorder="1" applyAlignment="1">
      <alignment horizontal="right" vertical="top"/>
    </xf>
    <xf numFmtId="1" fontId="8" fillId="0" borderId="14" xfId="0" applyNumberFormat="1" applyFont="1" applyBorder="1" applyAlignment="1">
      <alignment horizontal="right" vertical="center"/>
    </xf>
    <xf numFmtId="1" fontId="7" fillId="0" borderId="10" xfId="0" applyNumberFormat="1" applyFont="1" applyBorder="1" applyAlignment="1">
      <alignment vertical="center"/>
    </xf>
    <xf numFmtId="1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67" fillId="0" borderId="0" xfId="0" applyFont="1" applyAlignment="1">
      <alignment vertical="top"/>
    </xf>
    <xf numFmtId="49" fontId="67" fillId="0" borderId="0" xfId="0" applyNumberFormat="1" applyFont="1" applyBorder="1" applyAlignment="1">
      <alignment vertical="top"/>
    </xf>
    <xf numFmtId="49" fontId="72" fillId="0" borderId="10" xfId="0" applyNumberFormat="1" applyFont="1" applyBorder="1" applyAlignment="1">
      <alignment horizontal="left" vertical="top" indent="5"/>
    </xf>
    <xf numFmtId="49" fontId="72" fillId="0" borderId="10" xfId="0" applyNumberFormat="1" applyFont="1" applyBorder="1" applyAlignment="1">
      <alignment horizontal="center" vertical="top"/>
    </xf>
    <xf numFmtId="0" fontId="70" fillId="0" borderId="0" xfId="0" applyFont="1" applyAlignment="1">
      <alignment/>
    </xf>
    <xf numFmtId="189" fontId="69" fillId="0" borderId="0" xfId="0" applyNumberFormat="1" applyFont="1" applyAlignment="1">
      <alignment/>
    </xf>
    <xf numFmtId="0" fontId="67" fillId="0" borderId="15" xfId="0" applyFont="1" applyBorder="1" applyAlignment="1">
      <alignment/>
    </xf>
    <xf numFmtId="0" fontId="67" fillId="0" borderId="16" xfId="0" applyFont="1" applyBorder="1" applyAlignment="1">
      <alignment/>
    </xf>
    <xf numFmtId="0" fontId="67" fillId="0" borderId="16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14" fontId="67" fillId="0" borderId="18" xfId="0" applyNumberFormat="1" applyFont="1" applyBorder="1" applyAlignment="1">
      <alignment vertical="center"/>
    </xf>
    <xf numFmtId="0" fontId="67" fillId="0" borderId="18" xfId="0" applyFont="1" applyBorder="1" applyAlignment="1">
      <alignment vertical="center" wrapText="1"/>
    </xf>
    <xf numFmtId="0" fontId="67" fillId="0" borderId="18" xfId="0" applyFont="1" applyBorder="1" applyAlignment="1">
      <alignment horizontal="center" vertical="center"/>
    </xf>
    <xf numFmtId="0" fontId="71" fillId="0" borderId="10" xfId="0" applyFont="1" applyBorder="1" applyAlignment="1">
      <alignment/>
    </xf>
    <xf numFmtId="0" fontId="71" fillId="0" borderId="10" xfId="0" applyFont="1" applyBorder="1" applyAlignment="1">
      <alignment horizontal="center"/>
    </xf>
    <xf numFmtId="189" fontId="3" fillId="0" borderId="10" xfId="0" applyNumberFormat="1" applyFont="1" applyFill="1" applyBorder="1" applyAlignment="1">
      <alignment horizontal="right" vertical="top"/>
    </xf>
    <xf numFmtId="189" fontId="4" fillId="0" borderId="10" xfId="0" applyNumberFormat="1" applyFont="1" applyFill="1" applyBorder="1" applyAlignment="1">
      <alignment vertical="top"/>
    </xf>
    <xf numFmtId="189" fontId="3" fillId="0" borderId="10" xfId="0" applyNumberFormat="1" applyFont="1" applyFill="1" applyBorder="1" applyAlignment="1">
      <alignment vertical="top"/>
    </xf>
    <xf numFmtId="189" fontId="3" fillId="0" borderId="10" xfId="0" applyNumberFormat="1" applyFont="1" applyFill="1" applyBorder="1" applyAlignment="1">
      <alignment horizontal="center" vertical="top"/>
    </xf>
    <xf numFmtId="189" fontId="3" fillId="0" borderId="10" xfId="0" applyNumberFormat="1" applyFont="1" applyFill="1" applyBorder="1" applyAlignment="1">
      <alignment horizontal="left" vertical="top" indent="1"/>
    </xf>
    <xf numFmtId="189" fontId="4" fillId="0" borderId="10" xfId="0" applyNumberFormat="1" applyFont="1" applyFill="1" applyBorder="1" applyAlignment="1">
      <alignment horizontal="center" vertical="top"/>
    </xf>
    <xf numFmtId="189" fontId="3" fillId="0" borderId="14" xfId="0" applyNumberFormat="1" applyFont="1" applyFill="1" applyBorder="1" applyAlignment="1">
      <alignment horizontal="right" vertical="top"/>
    </xf>
    <xf numFmtId="189" fontId="3" fillId="0" borderId="14" xfId="0" applyNumberFormat="1" applyFont="1" applyFill="1" applyBorder="1" applyAlignment="1">
      <alignment vertical="top"/>
    </xf>
    <xf numFmtId="189" fontId="3" fillId="0" borderId="14" xfId="0" applyNumberFormat="1" applyFont="1" applyFill="1" applyBorder="1" applyAlignment="1">
      <alignment horizontal="center" vertical="top"/>
    </xf>
    <xf numFmtId="189" fontId="3" fillId="0" borderId="15" xfId="0" applyNumberFormat="1" applyFont="1" applyFill="1" applyBorder="1" applyAlignment="1">
      <alignment horizontal="right" vertical="center"/>
    </xf>
    <xf numFmtId="189" fontId="4" fillId="0" borderId="17" xfId="0" applyNumberFormat="1" applyFont="1" applyFill="1" applyBorder="1" applyAlignment="1">
      <alignment horizontal="center" vertical="center"/>
    </xf>
    <xf numFmtId="189" fontId="67" fillId="0" borderId="0" xfId="0" applyNumberFormat="1" applyFont="1" applyAlignment="1">
      <alignment/>
    </xf>
    <xf numFmtId="0" fontId="6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67" fillId="0" borderId="0" xfId="0" applyNumberFormat="1" applyFont="1" applyAlignment="1">
      <alignment vertical="top"/>
    </xf>
    <xf numFmtId="0" fontId="4" fillId="33" borderId="0" xfId="0" applyFont="1" applyFill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8" fillId="0" borderId="0" xfId="68" applyFont="1">
      <alignment/>
      <protection/>
    </xf>
    <xf numFmtId="0" fontId="68" fillId="0" borderId="0" xfId="69" applyFont="1" applyFill="1">
      <alignment/>
      <protection/>
    </xf>
    <xf numFmtId="1" fontId="8" fillId="0" borderId="0" xfId="68" applyNumberFormat="1" applyFont="1" applyBorder="1" applyAlignment="1">
      <alignment vertical="center"/>
      <protection/>
    </xf>
    <xf numFmtId="0" fontId="7" fillId="0" borderId="0" xfId="68" applyFont="1" applyAlignment="1">
      <alignment vertical="center"/>
      <protection/>
    </xf>
    <xf numFmtId="0" fontId="3" fillId="0" borderId="0" xfId="68" applyFont="1">
      <alignment/>
      <protection/>
    </xf>
    <xf numFmtId="0" fontId="66" fillId="0" borderId="10" xfId="69" applyFont="1" applyFill="1" applyBorder="1" applyAlignment="1">
      <alignment vertical="center" wrapText="1"/>
      <protection/>
    </xf>
    <xf numFmtId="0" fontId="68" fillId="0" borderId="0" xfId="69" applyFont="1" applyFill="1" applyBorder="1" applyAlignment="1">
      <alignment vertical="center"/>
      <protection/>
    </xf>
    <xf numFmtId="1" fontId="68" fillId="0" borderId="0" xfId="0" applyNumberFormat="1" applyFont="1" applyBorder="1" applyAlignment="1">
      <alignment vertical="center"/>
    </xf>
    <xf numFmtId="0" fontId="67" fillId="0" borderId="10" xfId="69" applyFont="1" applyFill="1" applyBorder="1" applyAlignment="1">
      <alignment vertical="center"/>
      <protection/>
    </xf>
    <xf numFmtId="1" fontId="67" fillId="0" borderId="10" xfId="69" applyNumberFormat="1" applyFont="1" applyFill="1" applyBorder="1" applyAlignment="1">
      <alignment vertical="center"/>
      <protection/>
    </xf>
    <xf numFmtId="0" fontId="3" fillId="0" borderId="0" xfId="68" applyFont="1" applyAlignment="1">
      <alignment vertical="center"/>
      <protection/>
    </xf>
    <xf numFmtId="1" fontId="67" fillId="0" borderId="0" xfId="0" applyNumberFormat="1" applyFont="1" applyAlignment="1">
      <alignment vertical="center"/>
    </xf>
    <xf numFmtId="0" fontId="66" fillId="0" borderId="20" xfId="69" applyFont="1" applyFill="1" applyBorder="1" applyAlignment="1">
      <alignment vertical="center"/>
      <protection/>
    </xf>
    <xf numFmtId="0" fontId="66" fillId="0" borderId="21" xfId="69" applyFont="1" applyFill="1" applyBorder="1" applyAlignment="1">
      <alignment vertical="center"/>
      <protection/>
    </xf>
    <xf numFmtId="0" fontId="66" fillId="0" borderId="19" xfId="69" applyFont="1" applyFill="1" applyBorder="1" applyAlignment="1">
      <alignment vertical="center"/>
      <protection/>
    </xf>
    <xf numFmtId="0" fontId="66" fillId="0" borderId="10" xfId="69" applyFont="1" applyFill="1" applyBorder="1" applyAlignment="1">
      <alignment vertical="center"/>
      <protection/>
    </xf>
    <xf numFmtId="172" fontId="66" fillId="0" borderId="10" xfId="69" applyNumberFormat="1" applyFont="1" applyFill="1" applyBorder="1" applyAlignment="1">
      <alignment vertical="center"/>
      <protection/>
    </xf>
    <xf numFmtId="1" fontId="3" fillId="0" borderId="0" xfId="68" applyNumberFormat="1" applyFont="1" applyAlignment="1">
      <alignment vertical="center"/>
      <protection/>
    </xf>
    <xf numFmtId="0" fontId="67" fillId="0" borderId="0" xfId="69" applyFont="1" applyFill="1" applyAlignment="1">
      <alignment vertical="center"/>
      <protection/>
    </xf>
    <xf numFmtId="172" fontId="67" fillId="0" borderId="0" xfId="69" applyNumberFormat="1" applyFont="1" applyFill="1" applyAlignment="1">
      <alignment vertical="center"/>
      <protection/>
    </xf>
    <xf numFmtId="1" fontId="66" fillId="0" borderId="10" xfId="69" applyNumberFormat="1" applyFont="1" applyFill="1" applyBorder="1" applyAlignment="1">
      <alignment vertical="center"/>
      <protection/>
    </xf>
    <xf numFmtId="1" fontId="66" fillId="0" borderId="0" xfId="69" applyNumberFormat="1" applyFont="1" applyFill="1" applyBorder="1" applyAlignment="1">
      <alignment vertical="center"/>
      <protection/>
    </xf>
    <xf numFmtId="172" fontId="3" fillId="0" borderId="10" xfId="0" applyNumberFormat="1" applyFont="1" applyBorder="1" applyAlignment="1">
      <alignment horizontal="center" vertical="center"/>
    </xf>
    <xf numFmtId="172" fontId="3" fillId="0" borderId="10" xfId="42" applyNumberFormat="1" applyFont="1" applyBorder="1" applyAlignment="1">
      <alignment horizontal="right" vertical="center"/>
    </xf>
    <xf numFmtId="172" fontId="4" fillId="0" borderId="10" xfId="42" applyNumberFormat="1" applyFont="1" applyBorder="1" applyAlignment="1">
      <alignment horizontal="right" vertical="center"/>
    </xf>
    <xf numFmtId="173" fontId="4" fillId="0" borderId="0" xfId="42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7" fillId="0" borderId="10" xfId="0" applyFont="1" applyBorder="1" applyAlignment="1">
      <alignment vertical="center"/>
    </xf>
    <xf numFmtId="0" fontId="67" fillId="0" borderId="10" xfId="0" applyFont="1" applyBorder="1" applyAlignment="1">
      <alignment horizontal="center" vertical="center"/>
    </xf>
    <xf numFmtId="189" fontId="66" fillId="0" borderId="10" xfId="0" applyNumberFormat="1" applyFont="1" applyBorder="1" applyAlignment="1">
      <alignment vertical="center"/>
    </xf>
    <xf numFmtId="0" fontId="68" fillId="0" borderId="0" xfId="0" applyFont="1" applyAlignment="1">
      <alignment horizontal="center"/>
    </xf>
    <xf numFmtId="18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67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189" fontId="4" fillId="0" borderId="0" xfId="0" applyNumberFormat="1" applyFont="1" applyAlignment="1">
      <alignment vertical="center"/>
    </xf>
    <xf numFmtId="189" fontId="3" fillId="0" borderId="0" xfId="0" applyNumberFormat="1" applyFont="1" applyAlignment="1">
      <alignment vertical="center"/>
    </xf>
    <xf numFmtId="189" fontId="3" fillId="0" borderId="11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89" fontId="3" fillId="0" borderId="0" xfId="0" applyNumberFormat="1" applyFont="1" applyAlignment="1">
      <alignment horizontal="right" vertical="center"/>
    </xf>
    <xf numFmtId="189" fontId="67" fillId="0" borderId="0" xfId="0" applyNumberFormat="1" applyFont="1" applyAlignment="1">
      <alignment vertical="center"/>
    </xf>
    <xf numFmtId="0" fontId="67" fillId="0" borderId="0" xfId="0" applyFont="1" applyAlignment="1">
      <alignment horizontal="center"/>
    </xf>
    <xf numFmtId="189" fontId="66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43" fontId="3" fillId="0" borderId="0" xfId="42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89" fontId="3" fillId="33" borderId="10" xfId="42" applyNumberFormat="1" applyFont="1" applyFill="1" applyBorder="1" applyAlignment="1">
      <alignment horizontal="right" vertical="center"/>
    </xf>
    <xf numFmtId="189" fontId="4" fillId="33" borderId="13" xfId="42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 horizontal="left" vertical="center"/>
    </xf>
    <xf numFmtId="0" fontId="74" fillId="0" borderId="0" xfId="0" applyFont="1" applyAlignment="1">
      <alignment/>
    </xf>
    <xf numFmtId="49" fontId="71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75" fillId="0" borderId="0" xfId="0" applyNumberFormat="1" applyFont="1" applyAlignment="1">
      <alignment vertical="top"/>
    </xf>
    <xf numFmtId="49" fontId="66" fillId="0" borderId="10" xfId="0" applyNumberFormat="1" applyFont="1" applyBorder="1" applyAlignment="1">
      <alignment horizontal="center" vertical="center"/>
    </xf>
    <xf numFmtId="188" fontId="67" fillId="0" borderId="10" xfId="0" applyNumberFormat="1" applyFont="1" applyBorder="1" applyAlignment="1">
      <alignment horizontal="right" vertical="center"/>
    </xf>
    <xf numFmtId="188" fontId="4" fillId="0" borderId="10" xfId="0" applyNumberFormat="1" applyFont="1" applyBorder="1" applyAlignment="1">
      <alignment vertical="center"/>
    </xf>
    <xf numFmtId="49" fontId="76" fillId="0" borderId="20" xfId="0" applyNumberFormat="1" applyFont="1" applyBorder="1" applyAlignment="1">
      <alignment vertical="center" wrapText="1"/>
    </xf>
    <xf numFmtId="0" fontId="67" fillId="0" borderId="10" xfId="0" applyNumberFormat="1" applyFont="1" applyBorder="1" applyAlignment="1">
      <alignment horizontal="center" vertical="center"/>
    </xf>
    <xf numFmtId="49" fontId="67" fillId="0" borderId="10" xfId="0" applyNumberFormat="1" applyFont="1" applyBorder="1" applyAlignment="1">
      <alignment vertical="center" wrapText="1"/>
    </xf>
    <xf numFmtId="189" fontId="7" fillId="0" borderId="10" xfId="0" applyNumberFormat="1" applyFont="1" applyBorder="1" applyAlignment="1">
      <alignment/>
    </xf>
    <xf numFmtId="16" fontId="2" fillId="0" borderId="0" xfId="0" applyNumberFormat="1" applyFont="1" applyAlignment="1">
      <alignment/>
    </xf>
    <xf numFmtId="189" fontId="3" fillId="0" borderId="10" xfId="0" applyNumberFormat="1" applyFont="1" applyFill="1" applyBorder="1" applyAlignment="1">
      <alignment horizontal="right" vertical="center"/>
    </xf>
    <xf numFmtId="1" fontId="4" fillId="0" borderId="10" xfId="0" applyNumberFormat="1" applyFont="1" applyBorder="1" applyAlignment="1">
      <alignment horizontal="center" vertical="center"/>
    </xf>
    <xf numFmtId="0" fontId="67" fillId="0" borderId="0" xfId="0" applyFont="1" applyAlignment="1">
      <alignment horizontal="center" vertical="top"/>
    </xf>
    <xf numFmtId="49" fontId="67" fillId="0" borderId="0" xfId="0" applyNumberFormat="1" applyFont="1" applyAlignment="1">
      <alignment horizontal="center" vertical="top"/>
    </xf>
    <xf numFmtId="188" fontId="71" fillId="0" borderId="10" xfId="0" applyNumberFormat="1" applyFont="1" applyBorder="1" applyAlignment="1">
      <alignment horizontal="right"/>
    </xf>
    <xf numFmtId="49" fontId="72" fillId="0" borderId="10" xfId="0" applyNumberFormat="1" applyFont="1" applyBorder="1" applyAlignment="1">
      <alignment horizontal="center" vertical="center" wrapText="1"/>
    </xf>
    <xf numFmtId="14" fontId="67" fillId="0" borderId="10" xfId="0" applyNumberFormat="1" applyFont="1" applyBorder="1" applyAlignment="1">
      <alignment horizontal="right" vertical="top"/>
    </xf>
    <xf numFmtId="49" fontId="77" fillId="0" borderId="10" xfId="0" applyNumberFormat="1" applyFont="1" applyBorder="1" applyAlignment="1">
      <alignment vertical="top" wrapText="1"/>
    </xf>
    <xf numFmtId="189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66" fillId="0" borderId="0" xfId="68" applyFont="1" applyFill="1" applyAlignment="1">
      <alignment horizontal="center" vertical="center"/>
      <protection/>
    </xf>
    <xf numFmtId="17" fontId="66" fillId="0" borderId="10" xfId="68" applyNumberFormat="1" applyFont="1" applyFill="1" applyBorder="1" applyAlignment="1">
      <alignment vertical="center" wrapText="1"/>
      <protection/>
    </xf>
    <xf numFmtId="0" fontId="3" fillId="0" borderId="10" xfId="68" applyNumberFormat="1" applyFont="1" applyFill="1" applyBorder="1" applyAlignment="1" quotePrefix="1">
      <alignment horizontal="center" vertical="center"/>
      <protection/>
    </xf>
    <xf numFmtId="0" fontId="3" fillId="0" borderId="10" xfId="0" applyFont="1" applyFill="1" applyBorder="1" applyAlignment="1" quotePrefix="1">
      <alignment vertical="center"/>
    </xf>
    <xf numFmtId="0" fontId="3" fillId="0" borderId="10" xfId="68" applyFont="1" applyFill="1" applyBorder="1" applyAlignment="1">
      <alignment vertical="center"/>
      <protection/>
    </xf>
    <xf numFmtId="0" fontId="3" fillId="0" borderId="10" xfId="68" applyNumberFormat="1" applyFont="1" applyFill="1" applyBorder="1" applyAlignment="1" quotePrefix="1">
      <alignment vertical="center"/>
      <protection/>
    </xf>
    <xf numFmtId="1" fontId="3" fillId="0" borderId="10" xfId="68" applyNumberFormat="1" applyFont="1" applyFill="1" applyBorder="1" applyAlignment="1">
      <alignment vertical="center"/>
      <protection/>
    </xf>
    <xf numFmtId="0" fontId="3" fillId="0" borderId="10" xfId="0" applyNumberFormat="1" applyFont="1" applyFill="1" applyBorder="1" applyAlignment="1" quotePrefix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3" fillId="0" borderId="0" xfId="68" applyFont="1" applyFill="1" applyAlignment="1">
      <alignment vertical="center"/>
      <protection/>
    </xf>
    <xf numFmtId="0" fontId="4" fillId="0" borderId="10" xfId="68" applyFont="1" applyFill="1" applyBorder="1" applyAlignment="1">
      <alignment vertical="center"/>
      <protection/>
    </xf>
    <xf numFmtId="0" fontId="4" fillId="0" borderId="10" xfId="68" applyNumberFormat="1" applyFont="1" applyFill="1" applyBorder="1" applyAlignment="1">
      <alignment vertical="center"/>
      <protection/>
    </xf>
    <xf numFmtId="0" fontId="4" fillId="0" borderId="0" xfId="68" applyFont="1" applyFill="1" applyAlignment="1">
      <alignment vertical="center"/>
      <protection/>
    </xf>
    <xf numFmtId="173" fontId="3" fillId="0" borderId="10" xfId="68" applyNumberFormat="1" applyFont="1" applyFill="1" applyBorder="1" applyAlignment="1">
      <alignment vertical="center"/>
      <protection/>
    </xf>
    <xf numFmtId="173" fontId="3" fillId="0" borderId="10" xfId="44" applyNumberFormat="1" applyFont="1" applyFill="1" applyBorder="1" applyAlignment="1">
      <alignment horizontal="right" vertical="center"/>
    </xf>
    <xf numFmtId="189" fontId="4" fillId="0" borderId="10" xfId="68" applyNumberFormat="1" applyFont="1" applyFill="1" applyBorder="1" applyAlignment="1">
      <alignment vertical="center"/>
      <protection/>
    </xf>
    <xf numFmtId="0" fontId="3" fillId="0" borderId="0" xfId="68" applyFont="1" applyFill="1" applyBorder="1" applyAlignment="1">
      <alignment vertical="center"/>
      <protection/>
    </xf>
    <xf numFmtId="0" fontId="4" fillId="0" borderId="0" xfId="68" applyFont="1" applyFill="1" applyBorder="1" applyAlignment="1">
      <alignment vertical="center"/>
      <protection/>
    </xf>
    <xf numFmtId="0" fontId="3" fillId="0" borderId="10" xfId="68" applyFont="1" applyFill="1" applyBorder="1" applyAlignment="1">
      <alignment horizontal="center" vertical="center"/>
      <protection/>
    </xf>
    <xf numFmtId="189" fontId="8" fillId="0" borderId="10" xfId="0" applyNumberFormat="1" applyFont="1" applyBorder="1" applyAlignment="1">
      <alignment horizontal="center" vertical="center"/>
    </xf>
    <xf numFmtId="189" fontId="8" fillId="0" borderId="14" xfId="0" applyNumberFormat="1" applyFont="1" applyBorder="1" applyAlignment="1">
      <alignment horizontal="center" vertical="center"/>
    </xf>
    <xf numFmtId="1" fontId="67" fillId="0" borderId="10" xfId="69" applyNumberFormat="1" applyFont="1" applyFill="1" applyBorder="1" applyAlignment="1">
      <alignment horizontal="right" vertical="center"/>
      <protection/>
    </xf>
    <xf numFmtId="172" fontId="66" fillId="0" borderId="10" xfId="69" applyNumberFormat="1" applyFont="1" applyFill="1" applyBorder="1" applyAlignment="1">
      <alignment horizontal="right" vertical="center"/>
      <protection/>
    </xf>
    <xf numFmtId="172" fontId="67" fillId="0" borderId="0" xfId="69" applyNumberFormat="1" applyFont="1" applyFill="1" applyAlignment="1">
      <alignment horizontal="right" vertical="center"/>
      <protection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7" fillId="0" borderId="0" xfId="0" applyFont="1" applyFill="1" applyAlignment="1">
      <alignment vertical="top"/>
    </xf>
    <xf numFmtId="0" fontId="71" fillId="0" borderId="10" xfId="0" applyFont="1" applyFill="1" applyBorder="1" applyAlignment="1">
      <alignment horizontal="center" vertical="center" wrapText="1"/>
    </xf>
    <xf numFmtId="49" fontId="66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67" fillId="0" borderId="0" xfId="0" applyFont="1" applyFill="1" applyAlignment="1">
      <alignment vertical="center"/>
    </xf>
    <xf numFmtId="189" fontId="68" fillId="0" borderId="0" xfId="0" applyNumberFormat="1" applyFont="1" applyAlignment="1">
      <alignment/>
    </xf>
    <xf numFmtId="1" fontId="3" fillId="0" borderId="10" xfId="68" applyNumberFormat="1" applyFont="1" applyFill="1" applyBorder="1" applyAlignment="1" quotePrefix="1">
      <alignment vertical="center"/>
      <protection/>
    </xf>
    <xf numFmtId="1" fontId="4" fillId="0" borderId="10" xfId="68" applyNumberFormat="1" applyFont="1" applyFill="1" applyBorder="1" applyAlignment="1">
      <alignment vertical="center"/>
      <protection/>
    </xf>
    <xf numFmtId="49" fontId="66" fillId="0" borderId="10" xfId="0" applyNumberFormat="1" applyFont="1" applyBorder="1" applyAlignment="1">
      <alignment horizontal="left" vertical="center" wrapText="1"/>
    </xf>
    <xf numFmtId="49" fontId="78" fillId="0" borderId="0" xfId="0" applyNumberFormat="1" applyFont="1" applyBorder="1" applyAlignment="1">
      <alignment horizontal="center" vertical="top"/>
    </xf>
    <xf numFmtId="1" fontId="4" fillId="0" borderId="10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horizontal="right" vertical="center"/>
    </xf>
    <xf numFmtId="14" fontId="67" fillId="0" borderId="10" xfId="93" applyNumberFormat="1" applyFont="1" applyBorder="1" applyAlignment="1">
      <alignment horizontal="right" vertical="top"/>
      <protection/>
    </xf>
    <xf numFmtId="14" fontId="67" fillId="0" borderId="10" xfId="94" applyNumberFormat="1" applyFont="1" applyBorder="1" applyAlignment="1">
      <alignment horizontal="right" vertical="top"/>
      <protection/>
    </xf>
    <xf numFmtId="49" fontId="77" fillId="0" borderId="10" xfId="94" applyNumberFormat="1" applyFont="1" applyBorder="1" applyAlignment="1">
      <alignment vertical="top" wrapText="1"/>
      <protection/>
    </xf>
    <xf numFmtId="188" fontId="67" fillId="0" borderId="10" xfId="94" applyNumberFormat="1" applyFont="1" applyBorder="1" applyAlignment="1">
      <alignment horizontal="right" vertical="top"/>
      <protection/>
    </xf>
    <xf numFmtId="188" fontId="3" fillId="0" borderId="0" xfId="0" applyNumberFormat="1" applyFont="1" applyAlignment="1">
      <alignment/>
    </xf>
    <xf numFmtId="188" fontId="4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 vertical="center"/>
    </xf>
    <xf numFmtId="49" fontId="77" fillId="0" borderId="10" xfId="58" applyNumberFormat="1" applyFont="1" applyBorder="1" applyAlignment="1">
      <alignment vertical="top" wrapText="1"/>
      <protection/>
    </xf>
    <xf numFmtId="14" fontId="67" fillId="0" borderId="10" xfId="66" applyNumberFormat="1" applyFont="1" applyBorder="1" applyAlignment="1">
      <alignment horizontal="right" vertical="top"/>
      <protection/>
    </xf>
    <xf numFmtId="188" fontId="67" fillId="0" borderId="10" xfId="66" applyNumberFormat="1" applyFont="1" applyBorder="1" applyAlignment="1">
      <alignment horizontal="right" vertical="top"/>
      <protection/>
    </xf>
    <xf numFmtId="49" fontId="77" fillId="0" borderId="10" xfId="66" applyNumberFormat="1" applyFont="1" applyBorder="1" applyAlignment="1">
      <alignment vertical="top" wrapText="1"/>
      <protection/>
    </xf>
    <xf numFmtId="188" fontId="67" fillId="0" borderId="10" xfId="93" applyNumberFormat="1" applyFont="1" applyBorder="1" applyAlignment="1">
      <alignment horizontal="right" vertical="top"/>
      <protection/>
    </xf>
    <xf numFmtId="49" fontId="77" fillId="0" borderId="10" xfId="93" applyNumberFormat="1" applyFont="1" applyBorder="1" applyAlignment="1">
      <alignment vertical="top" wrapText="1"/>
      <protection/>
    </xf>
    <xf numFmtId="0" fontId="79" fillId="0" borderId="10" xfId="0" applyFont="1" applyBorder="1" applyAlignment="1">
      <alignment wrapText="1"/>
    </xf>
    <xf numFmtId="0" fontId="79" fillId="0" borderId="10" xfId="0" applyFont="1" applyBorder="1" applyAlignment="1">
      <alignment vertical="top" wrapText="1"/>
    </xf>
    <xf numFmtId="189" fontId="68" fillId="0" borderId="0" xfId="0" applyNumberFormat="1" applyFont="1" applyAlignment="1">
      <alignment horizontal="center"/>
    </xf>
    <xf numFmtId="0" fontId="67" fillId="0" borderId="14" xfId="69" applyFont="1" applyFill="1" applyBorder="1" applyAlignment="1">
      <alignment vertical="center" wrapText="1"/>
      <protection/>
    </xf>
    <xf numFmtId="0" fontId="67" fillId="0" borderId="14" xfId="69" applyFont="1" applyFill="1" applyBorder="1" applyAlignment="1">
      <alignment vertical="center"/>
      <protection/>
    </xf>
    <xf numFmtId="172" fontId="67" fillId="0" borderId="14" xfId="69" applyNumberFormat="1" applyFont="1" applyFill="1" applyBorder="1" applyAlignment="1">
      <alignment vertical="center"/>
      <protection/>
    </xf>
    <xf numFmtId="1" fontId="67" fillId="0" borderId="14" xfId="69" applyNumberFormat="1" applyFont="1" applyFill="1" applyBorder="1" applyAlignment="1">
      <alignment vertical="center"/>
      <protection/>
    </xf>
    <xf numFmtId="189" fontId="3" fillId="0" borderId="0" xfId="0" applyNumberFormat="1" applyFont="1" applyAlignment="1">
      <alignment/>
    </xf>
    <xf numFmtId="49" fontId="78" fillId="0" borderId="0" xfId="0" applyNumberFormat="1" applyFont="1" applyBorder="1" applyAlignment="1">
      <alignment horizontal="center" vertical="top"/>
    </xf>
    <xf numFmtId="172" fontId="3" fillId="0" borderId="0" xfId="0" applyNumberFormat="1" applyFont="1" applyAlignment="1">
      <alignment vertical="center"/>
    </xf>
    <xf numFmtId="172" fontId="3" fillId="0" borderId="0" xfId="0" applyNumberFormat="1" applyFont="1" applyAlignment="1">
      <alignment/>
    </xf>
    <xf numFmtId="14" fontId="67" fillId="0" borderId="10" xfId="67" applyNumberFormat="1" applyFont="1" applyBorder="1" applyAlignment="1">
      <alignment horizontal="right" vertical="top"/>
      <protection/>
    </xf>
    <xf numFmtId="49" fontId="77" fillId="0" borderId="10" xfId="67" applyNumberFormat="1" applyFont="1" applyBorder="1" applyAlignment="1">
      <alignment vertical="top" wrapText="1"/>
      <protection/>
    </xf>
    <xf numFmtId="0" fontId="71" fillId="0" borderId="10" xfId="0" applyFont="1" applyBorder="1" applyAlignment="1">
      <alignment horizontal="center" vertical="center"/>
    </xf>
    <xf numFmtId="188" fontId="71" fillId="0" borderId="1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2" fillId="0" borderId="0" xfId="0" applyFont="1" applyAlignment="1">
      <alignment wrapText="1"/>
    </xf>
    <xf numFmtId="0" fontId="71" fillId="0" borderId="0" xfId="68" applyFont="1" applyAlignment="1">
      <alignment horizontal="center" vertical="center"/>
      <protection/>
    </xf>
    <xf numFmtId="1" fontId="67" fillId="0" borderId="18" xfId="69" applyNumberFormat="1" applyFont="1" applyFill="1" applyBorder="1" applyAlignment="1">
      <alignment horizontal="right" vertical="center"/>
      <protection/>
    </xf>
    <xf numFmtId="0" fontId="66" fillId="0" borderId="10" xfId="69" applyFont="1" applyFill="1" applyBorder="1" applyAlignment="1">
      <alignment horizontal="center" vertical="center" wrapText="1"/>
      <protection/>
    </xf>
    <xf numFmtId="0" fontId="68" fillId="0" borderId="10" xfId="69" applyFont="1" applyFill="1" applyBorder="1" applyAlignment="1">
      <alignment vertical="center"/>
      <protection/>
    </xf>
    <xf numFmtId="1" fontId="68" fillId="0" borderId="10" xfId="69" applyNumberFormat="1" applyFont="1" applyFill="1" applyBorder="1" applyAlignment="1">
      <alignment vertical="center"/>
      <protection/>
    </xf>
    <xf numFmtId="1" fontId="68" fillId="0" borderId="0" xfId="0" applyNumberFormat="1" applyFont="1" applyAlignment="1">
      <alignment vertical="center"/>
    </xf>
    <xf numFmtId="0" fontId="71" fillId="0" borderId="10" xfId="69" applyFont="1" applyFill="1" applyBorder="1" applyAlignment="1">
      <alignment vertical="center"/>
      <protection/>
    </xf>
    <xf numFmtId="172" fontId="71" fillId="0" borderId="10" xfId="69" applyNumberFormat="1" applyFont="1" applyFill="1" applyBorder="1" applyAlignment="1">
      <alignment vertical="center"/>
      <protection/>
    </xf>
    <xf numFmtId="172" fontId="68" fillId="0" borderId="10" xfId="69" applyNumberFormat="1" applyFont="1" applyFill="1" applyBorder="1" applyAlignment="1">
      <alignment vertical="center"/>
      <protection/>
    </xf>
    <xf numFmtId="0" fontId="8" fillId="0" borderId="0" xfId="68" applyFont="1" applyAlignment="1">
      <alignment vertical="center"/>
      <protection/>
    </xf>
    <xf numFmtId="1" fontId="71" fillId="0" borderId="10" xfId="69" applyNumberFormat="1" applyFont="1" applyFill="1" applyBorder="1" applyAlignment="1">
      <alignment vertical="center"/>
      <protection/>
    </xf>
    <xf numFmtId="0" fontId="71" fillId="0" borderId="0" xfId="69" applyFont="1" applyFill="1" applyBorder="1" applyAlignment="1">
      <alignment horizontal="center" vertical="center"/>
      <protection/>
    </xf>
    <xf numFmtId="0" fontId="71" fillId="0" borderId="0" xfId="69" applyFont="1" applyFill="1" applyBorder="1" applyAlignment="1">
      <alignment vertical="center"/>
      <protection/>
    </xf>
    <xf numFmtId="1" fontId="71" fillId="0" borderId="0" xfId="69" applyNumberFormat="1" applyFont="1" applyFill="1" applyBorder="1" applyAlignment="1">
      <alignment vertical="center"/>
      <protection/>
    </xf>
    <xf numFmtId="0" fontId="71" fillId="0" borderId="0" xfId="68" applyFont="1" applyAlignment="1">
      <alignment vertical="center"/>
      <protection/>
    </xf>
    <xf numFmtId="0" fontId="68" fillId="0" borderId="0" xfId="68" applyFont="1" applyAlignment="1">
      <alignment vertical="center"/>
      <protection/>
    </xf>
    <xf numFmtId="0" fontId="68" fillId="0" borderId="0" xfId="68" applyFont="1" applyFill="1" applyAlignment="1">
      <alignment vertical="center"/>
      <protection/>
    </xf>
    <xf numFmtId="0" fontId="9" fillId="0" borderId="0" xfId="68" applyFont="1" applyBorder="1" applyAlignment="1">
      <alignment vertical="center"/>
      <protection/>
    </xf>
    <xf numFmtId="1" fontId="68" fillId="0" borderId="0" xfId="68" applyNumberFormat="1" applyFont="1" applyBorder="1" applyAlignment="1">
      <alignment vertical="center"/>
      <protection/>
    </xf>
    <xf numFmtId="0" fontId="68" fillId="0" borderId="0" xfId="68" applyFont="1" applyBorder="1" applyAlignment="1">
      <alignment vertical="center"/>
      <protection/>
    </xf>
    <xf numFmtId="0" fontId="68" fillId="0" borderId="0" xfId="0" applyFont="1" applyBorder="1" applyAlignment="1">
      <alignment vertical="center"/>
    </xf>
    <xf numFmtId="172" fontId="8" fillId="0" borderId="10" xfId="68" applyNumberFormat="1" applyFont="1" applyBorder="1" applyAlignment="1">
      <alignment vertical="center"/>
      <protection/>
    </xf>
    <xf numFmtId="0" fontId="7" fillId="0" borderId="0" xfId="68" applyFont="1" applyBorder="1" applyAlignment="1">
      <alignment horizontal="center" vertical="center"/>
      <protection/>
    </xf>
    <xf numFmtId="0" fontId="67" fillId="0" borderId="23" xfId="69" applyFont="1" applyFill="1" applyBorder="1" applyAlignment="1">
      <alignment horizontal="center" vertical="center" wrapText="1"/>
      <protection/>
    </xf>
    <xf numFmtId="0" fontId="67" fillId="0" borderId="11" xfId="69" applyFont="1" applyFill="1" applyBorder="1" applyAlignment="1">
      <alignment horizontal="center" vertical="center"/>
      <protection/>
    </xf>
    <xf numFmtId="172" fontId="67" fillId="0" borderId="10" xfId="0" applyNumberFormat="1" applyFont="1" applyBorder="1" applyAlignment="1">
      <alignment horizontal="center" vertical="center"/>
    </xf>
    <xf numFmtId="172" fontId="67" fillId="0" borderId="10" xfId="0" applyNumberFormat="1" applyFont="1" applyBorder="1" applyAlignment="1">
      <alignment vertical="center"/>
    </xf>
    <xf numFmtId="172" fontId="4" fillId="0" borderId="10" xfId="0" applyNumberFormat="1" applyFont="1" applyBorder="1" applyAlignment="1">
      <alignment horizontal="right" vertical="center"/>
    </xf>
    <xf numFmtId="172" fontId="66" fillId="0" borderId="10" xfId="0" applyNumberFormat="1" applyFont="1" applyBorder="1" applyAlignment="1">
      <alignment vertical="center"/>
    </xf>
    <xf numFmtId="172" fontId="3" fillId="0" borderId="10" xfId="0" applyNumberFormat="1" applyFont="1" applyBorder="1" applyAlignment="1">
      <alignment horizontal="right" vertical="center"/>
    </xf>
    <xf numFmtId="172" fontId="67" fillId="33" borderId="10" xfId="0" applyNumberFormat="1" applyFont="1" applyFill="1" applyBorder="1" applyAlignment="1">
      <alignment horizontal="right" vertical="center"/>
    </xf>
    <xf numFmtId="172" fontId="4" fillId="33" borderId="10" xfId="0" applyNumberFormat="1" applyFont="1" applyFill="1" applyBorder="1" applyAlignment="1">
      <alignment horizontal="right" vertical="center"/>
    </xf>
    <xf numFmtId="172" fontId="3" fillId="33" borderId="10" xfId="0" applyNumberFormat="1" applyFont="1" applyFill="1" applyBorder="1" applyAlignment="1">
      <alignment horizontal="right" vertical="center"/>
    </xf>
    <xf numFmtId="172" fontId="3" fillId="0" borderId="0" xfId="0" applyNumberFormat="1" applyFont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 wrapText="1"/>
    </xf>
    <xf numFmtId="172" fontId="67" fillId="0" borderId="22" xfId="0" applyNumberFormat="1" applyFont="1" applyFill="1" applyBorder="1" applyAlignment="1">
      <alignment horizontal="right" vertical="center"/>
    </xf>
    <xf numFmtId="172" fontId="67" fillId="0" borderId="22" xfId="0" applyNumberFormat="1" applyFont="1" applyBorder="1" applyAlignment="1">
      <alignment horizontal="right" vertical="center"/>
    </xf>
    <xf numFmtId="0" fontId="68" fillId="0" borderId="10" xfId="0" applyNumberFormat="1" applyFont="1" applyBorder="1" applyAlignment="1">
      <alignment horizontal="center" vertical="top"/>
    </xf>
    <xf numFmtId="49" fontId="68" fillId="0" borderId="10" xfId="0" applyNumberFormat="1" applyFont="1" applyBorder="1" applyAlignment="1">
      <alignment vertical="top" wrapText="1"/>
    </xf>
    <xf numFmtId="172" fontId="67" fillId="0" borderId="10" xfId="0" applyNumberFormat="1" applyFont="1" applyBorder="1" applyAlignment="1">
      <alignment horizontal="right" vertical="top"/>
    </xf>
    <xf numFmtId="172" fontId="67" fillId="0" borderId="10" xfId="0" applyNumberFormat="1" applyFont="1" applyBorder="1" applyAlignment="1">
      <alignment vertical="top"/>
    </xf>
    <xf numFmtId="172" fontId="67" fillId="0" borderId="10" xfId="0" applyNumberFormat="1" applyFont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0" fontId="66" fillId="0" borderId="10" xfId="0" applyFont="1" applyBorder="1" applyAlignment="1">
      <alignment horizontal="left" vertical="center" wrapText="1"/>
    </xf>
    <xf numFmtId="0" fontId="67" fillId="0" borderId="10" xfId="0" applyNumberFormat="1" applyFont="1" applyBorder="1" applyAlignment="1">
      <alignment horizontal="right" vertical="center" wrapText="1"/>
    </xf>
    <xf numFmtId="1" fontId="7" fillId="0" borderId="0" xfId="68" applyNumberFormat="1" applyFont="1" applyBorder="1" applyAlignment="1">
      <alignment horizontal="center" vertical="center"/>
      <protection/>
    </xf>
    <xf numFmtId="0" fontId="68" fillId="0" borderId="0" xfId="0" applyFont="1" applyBorder="1" applyAlignment="1">
      <alignment vertical="center" wrapText="1"/>
    </xf>
    <xf numFmtId="0" fontId="8" fillId="0" borderId="0" xfId="68" applyFont="1" applyAlignment="1">
      <alignment vertical="center" wrapText="1"/>
      <protection/>
    </xf>
    <xf numFmtId="0" fontId="68" fillId="0" borderId="0" xfId="0" applyFont="1" applyAlignment="1">
      <alignment vertical="center" wrapText="1"/>
    </xf>
    <xf numFmtId="0" fontId="8" fillId="0" borderId="10" xfId="68" applyFont="1" applyBorder="1" applyAlignment="1">
      <alignment horizontal="center" vertical="center" wrapText="1"/>
      <protection/>
    </xf>
    <xf numFmtId="1" fontId="8" fillId="0" borderId="0" xfId="68" applyNumberFormat="1" applyFont="1" applyBorder="1" applyAlignment="1">
      <alignment horizontal="center" vertical="center" wrapText="1"/>
      <protection/>
    </xf>
    <xf numFmtId="0" fontId="8" fillId="0" borderId="0" xfId="68" applyFont="1" applyBorder="1" applyAlignment="1">
      <alignment horizontal="center" vertical="center" wrapText="1"/>
      <protection/>
    </xf>
    <xf numFmtId="172" fontId="8" fillId="0" borderId="0" xfId="68" applyNumberFormat="1" applyFont="1" applyBorder="1" applyAlignment="1">
      <alignment vertical="center"/>
      <protection/>
    </xf>
    <xf numFmtId="172" fontId="68" fillId="0" borderId="0" xfId="0" applyNumberFormat="1" applyFont="1" applyBorder="1" applyAlignment="1">
      <alignment vertical="center"/>
    </xf>
    <xf numFmtId="0" fontId="67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vertical="center"/>
    </xf>
    <xf numFmtId="172" fontId="3" fillId="0" borderId="10" xfId="0" applyNumberFormat="1" applyFont="1" applyBorder="1" applyAlignment="1">
      <alignment/>
    </xf>
    <xf numFmtId="172" fontId="3" fillId="0" borderId="10" xfId="42" applyNumberFormat="1" applyFont="1" applyBorder="1" applyAlignment="1">
      <alignment vertical="center"/>
    </xf>
    <xf numFmtId="172" fontId="3" fillId="0" borderId="10" xfId="0" applyNumberFormat="1" applyFont="1" applyBorder="1" applyAlignment="1" quotePrefix="1">
      <alignment horizontal="center" vertical="center"/>
    </xf>
    <xf numFmtId="172" fontId="4" fillId="0" borderId="10" xfId="42" applyNumberFormat="1" applyFont="1" applyBorder="1" applyAlignment="1">
      <alignment vertical="center"/>
    </xf>
    <xf numFmtId="189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72" fillId="0" borderId="10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72" fontId="67" fillId="0" borderId="10" xfId="0" applyNumberFormat="1" applyFont="1" applyBorder="1" applyAlignment="1" quotePrefix="1">
      <alignment horizontal="right" vertical="center" wrapText="1"/>
    </xf>
    <xf numFmtId="172" fontId="66" fillId="0" borderId="10" xfId="0" applyNumberFormat="1" applyFont="1" applyBorder="1" applyAlignment="1" quotePrefix="1">
      <alignment horizontal="right" vertical="center" wrapText="1"/>
    </xf>
    <xf numFmtId="172" fontId="4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vertical="center" wrapText="1"/>
    </xf>
    <xf numFmtId="172" fontId="3" fillId="0" borderId="0" xfId="0" applyNumberFormat="1" applyFont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0" xfId="0" applyNumberFormat="1" applyFont="1" applyFill="1" applyAlignment="1" quotePrefix="1">
      <alignment vertical="center"/>
    </xf>
    <xf numFmtId="189" fontId="67" fillId="0" borderId="10" xfId="0" applyNumberFormat="1" applyFont="1" applyBorder="1" applyAlignment="1">
      <alignment vertical="center"/>
    </xf>
    <xf numFmtId="49" fontId="78" fillId="0" borderId="0" xfId="0" applyNumberFormat="1" applyFont="1" applyBorder="1" applyAlignment="1">
      <alignment horizontal="center" vertical="top"/>
    </xf>
    <xf numFmtId="49" fontId="78" fillId="0" borderId="0" xfId="0" applyNumberFormat="1" applyFont="1" applyBorder="1" applyAlignment="1">
      <alignment horizontal="center" vertical="top"/>
    </xf>
    <xf numFmtId="14" fontId="67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/>
    </xf>
    <xf numFmtId="189" fontId="66" fillId="0" borderId="10" xfId="0" applyNumberFormat="1" applyFont="1" applyBorder="1" applyAlignment="1">
      <alignment/>
    </xf>
    <xf numFmtId="14" fontId="67" fillId="0" borderId="10" xfId="0" applyNumberFormat="1" applyFont="1" applyBorder="1" applyAlignment="1" quotePrefix="1">
      <alignment horizontal="center" vertical="center"/>
    </xf>
    <xf numFmtId="49" fontId="80" fillId="0" borderId="0" xfId="0" applyNumberFormat="1" applyFont="1" applyBorder="1" applyAlignment="1">
      <alignment vertical="top"/>
    </xf>
    <xf numFmtId="194" fontId="67" fillId="0" borderId="10" xfId="60" applyNumberFormat="1" applyFont="1" applyBorder="1" applyAlignment="1">
      <alignment horizontal="right" vertical="top"/>
      <protection/>
    </xf>
    <xf numFmtId="188" fontId="67" fillId="0" borderId="10" xfId="59" applyNumberFormat="1" applyFont="1" applyBorder="1" applyAlignment="1">
      <alignment horizontal="right" vertical="top"/>
      <protection/>
    </xf>
    <xf numFmtId="194" fontId="67" fillId="0" borderId="10" xfId="108" applyNumberFormat="1" applyFont="1" applyBorder="1" applyAlignment="1">
      <alignment horizontal="right" vertical="top"/>
      <protection/>
    </xf>
    <xf numFmtId="49" fontId="77" fillId="0" borderId="10" xfId="108" applyNumberFormat="1" applyFont="1" applyBorder="1" applyAlignment="1">
      <alignment vertical="top" wrapText="1"/>
      <protection/>
    </xf>
    <xf numFmtId="188" fontId="67" fillId="0" borderId="10" xfId="108" applyNumberFormat="1" applyFont="1" applyBorder="1" applyAlignment="1">
      <alignment horizontal="right" vertical="top"/>
      <protection/>
    </xf>
    <xf numFmtId="49" fontId="67" fillId="0" borderId="10" xfId="108" applyNumberFormat="1" applyFont="1" applyBorder="1" applyAlignment="1">
      <alignment horizontal="right" vertical="top"/>
      <protection/>
    </xf>
    <xf numFmtId="194" fontId="67" fillId="0" borderId="10" xfId="108" applyNumberFormat="1" applyFont="1" applyBorder="1" applyAlignment="1">
      <alignment vertical="top"/>
      <protection/>
    </xf>
    <xf numFmtId="0" fontId="3" fillId="0" borderId="14" xfId="0" applyFont="1" applyBorder="1" applyAlignment="1">
      <alignment vertical="center"/>
    </xf>
    <xf numFmtId="172" fontId="8" fillId="0" borderId="10" xfId="0" applyNumberFormat="1" applyFont="1" applyBorder="1" applyAlignment="1">
      <alignment horizontal="right" vertical="center"/>
    </xf>
    <xf numFmtId="172" fontId="7" fillId="0" borderId="10" xfId="0" applyNumberFormat="1" applyFont="1" applyBorder="1" applyAlignment="1">
      <alignment horizontal="right" vertical="center"/>
    </xf>
    <xf numFmtId="49" fontId="78" fillId="0" borderId="0" xfId="0" applyNumberFormat="1" applyFont="1" applyBorder="1" applyAlignment="1">
      <alignment horizontal="center" vertical="top"/>
    </xf>
    <xf numFmtId="172" fontId="8" fillId="0" borderId="14" xfId="0" applyNumberFormat="1" applyFont="1" applyBorder="1" applyAlignment="1">
      <alignment horizontal="right" vertical="center"/>
    </xf>
    <xf numFmtId="172" fontId="7" fillId="0" borderId="10" xfId="0" applyNumberFormat="1" applyFont="1" applyBorder="1" applyAlignment="1">
      <alignment vertical="center"/>
    </xf>
    <xf numFmtId="194" fontId="67" fillId="0" borderId="10" xfId="63" applyNumberFormat="1" applyFont="1" applyBorder="1" applyAlignment="1">
      <alignment horizontal="right" vertical="center"/>
      <protection/>
    </xf>
    <xf numFmtId="49" fontId="77" fillId="0" borderId="10" xfId="61" applyNumberFormat="1" applyFont="1" applyBorder="1" applyAlignment="1">
      <alignment vertical="center" wrapText="1"/>
      <protection/>
    </xf>
    <xf numFmtId="188" fontId="67" fillId="0" borderId="10" xfId="62" applyNumberFormat="1" applyFont="1" applyBorder="1" applyAlignment="1">
      <alignment horizontal="right" vertical="center"/>
      <protection/>
    </xf>
    <xf numFmtId="194" fontId="67" fillId="0" borderId="10" xfId="65" applyNumberFormat="1" applyFont="1" applyBorder="1" applyAlignment="1">
      <alignment horizontal="right" vertical="center"/>
      <protection/>
    </xf>
    <xf numFmtId="194" fontId="67" fillId="0" borderId="10" xfId="66" applyNumberFormat="1" applyFont="1" applyBorder="1" applyAlignment="1">
      <alignment horizontal="right" vertical="center"/>
      <protection/>
    </xf>
    <xf numFmtId="0" fontId="66" fillId="0" borderId="10" xfId="0" applyFont="1" applyBorder="1" applyAlignment="1">
      <alignment horizontal="center" vertical="center"/>
    </xf>
    <xf numFmtId="188" fontId="66" fillId="0" borderId="10" xfId="0" applyNumberFormat="1" applyFont="1" applyBorder="1" applyAlignment="1">
      <alignment horizontal="right" vertical="center"/>
    </xf>
    <xf numFmtId="14" fontId="73" fillId="0" borderId="10" xfId="0" applyNumberFormat="1" applyFont="1" applyBorder="1" applyAlignment="1">
      <alignment horizontal="center" vertical="top"/>
    </xf>
    <xf numFmtId="49" fontId="81" fillId="0" borderId="10" xfId="0" applyNumberFormat="1" applyFont="1" applyBorder="1" applyAlignment="1">
      <alignment vertical="top" wrapText="1"/>
    </xf>
    <xf numFmtId="188" fontId="67" fillId="0" borderId="10" xfId="62" applyNumberFormat="1" applyFont="1" applyFill="1" applyBorder="1" applyAlignment="1">
      <alignment horizontal="right" vertical="center"/>
      <protection/>
    </xf>
    <xf numFmtId="49" fontId="78" fillId="0" borderId="0" xfId="0" applyNumberFormat="1" applyFont="1" applyFill="1" applyBorder="1" applyAlignment="1">
      <alignment horizontal="center" vertical="top"/>
    </xf>
    <xf numFmtId="0" fontId="67" fillId="0" borderId="0" xfId="0" applyFont="1" applyFill="1" applyAlignment="1">
      <alignment horizontal="center" vertical="top"/>
    </xf>
    <xf numFmtId="49" fontId="67" fillId="0" borderId="0" xfId="0" applyNumberFormat="1" applyFont="1" applyFill="1" applyAlignment="1">
      <alignment horizontal="center" vertical="top"/>
    </xf>
    <xf numFmtId="49" fontId="66" fillId="0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94" fontId="67" fillId="0" borderId="10" xfId="63" applyNumberFormat="1" applyFont="1" applyFill="1" applyBorder="1" applyAlignment="1">
      <alignment horizontal="right" vertical="center"/>
      <protection/>
    </xf>
    <xf numFmtId="49" fontId="77" fillId="0" borderId="10" xfId="61" applyNumberFormat="1" applyFont="1" applyFill="1" applyBorder="1" applyAlignment="1">
      <alignment vertical="center" wrapText="1"/>
      <protection/>
    </xf>
    <xf numFmtId="194" fontId="67" fillId="0" borderId="10" xfId="65" applyNumberFormat="1" applyFont="1" applyFill="1" applyBorder="1" applyAlignment="1">
      <alignment horizontal="right" vertical="center"/>
      <protection/>
    </xf>
    <xf numFmtId="0" fontId="3" fillId="0" borderId="10" xfId="0" applyFont="1" applyFill="1" applyBorder="1" applyAlignment="1">
      <alignment vertical="center"/>
    </xf>
    <xf numFmtId="0" fontId="66" fillId="0" borderId="10" xfId="0" applyFont="1" applyFill="1" applyBorder="1" applyAlignment="1">
      <alignment horizontal="center" vertical="center"/>
    </xf>
    <xf numFmtId="188" fontId="66" fillId="0" borderId="10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Alignment="1">
      <alignment/>
    </xf>
    <xf numFmtId="49" fontId="72" fillId="0" borderId="10" xfId="0" applyNumberFormat="1" applyFont="1" applyFill="1" applyBorder="1" applyAlignment="1">
      <alignment horizontal="center" vertical="top"/>
    </xf>
    <xf numFmtId="49" fontId="72" fillId="0" borderId="10" xfId="0" applyNumberFormat="1" applyFont="1" applyFill="1" applyBorder="1" applyAlignment="1">
      <alignment horizontal="left" vertical="top" indent="5"/>
    </xf>
    <xf numFmtId="49" fontId="72" fillId="0" borderId="10" xfId="0" applyNumberFormat="1" applyFont="1" applyFill="1" applyBorder="1" applyAlignment="1">
      <alignment horizontal="center" vertical="center" wrapText="1"/>
    </xf>
    <xf numFmtId="14" fontId="73" fillId="0" borderId="10" xfId="0" applyNumberFormat="1" applyFont="1" applyFill="1" applyBorder="1" applyAlignment="1">
      <alignment horizontal="center" vertical="top"/>
    </xf>
    <xf numFmtId="49" fontId="81" fillId="0" borderId="10" xfId="0" applyNumberFormat="1" applyFont="1" applyFill="1" applyBorder="1" applyAlignment="1">
      <alignment vertical="top" wrapText="1"/>
    </xf>
    <xf numFmtId="188" fontId="67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/>
    </xf>
    <xf numFmtId="0" fontId="71" fillId="0" borderId="10" xfId="0" applyFont="1" applyFill="1" applyBorder="1" applyAlignment="1">
      <alignment horizontal="center"/>
    </xf>
    <xf numFmtId="188" fontId="71" fillId="0" borderId="10" xfId="0" applyNumberFormat="1" applyFont="1" applyFill="1" applyBorder="1" applyAlignment="1">
      <alignment horizontal="right"/>
    </xf>
    <xf numFmtId="0" fontId="8" fillId="0" borderId="10" xfId="0" applyNumberFormat="1" applyFont="1" applyBorder="1" applyAlignment="1">
      <alignment horizontal="center" vertical="center"/>
    </xf>
    <xf numFmtId="0" fontId="68" fillId="0" borderId="10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right" vertical="center"/>
    </xf>
    <xf numFmtId="189" fontId="7" fillId="0" borderId="10" xfId="0" applyNumberFormat="1" applyFont="1" applyBorder="1" applyAlignment="1">
      <alignment horizontal="right"/>
    </xf>
    <xf numFmtId="189" fontId="7" fillId="0" borderId="10" xfId="0" applyNumberFormat="1" applyFont="1" applyBorder="1" applyAlignment="1">
      <alignment horizontal="right" vertical="center"/>
    </xf>
    <xf numFmtId="49" fontId="81" fillId="0" borderId="10" xfId="109" applyNumberFormat="1" applyFont="1" applyFill="1" applyBorder="1" applyAlignment="1">
      <alignment vertical="top" wrapText="1"/>
      <protection/>
    </xf>
    <xf numFmtId="49" fontId="81" fillId="0" borderId="10" xfId="64" applyNumberFormat="1" applyFont="1" applyFill="1" applyBorder="1" applyAlignment="1">
      <alignment vertical="top" wrapText="1"/>
      <protection/>
    </xf>
    <xf numFmtId="49" fontId="81" fillId="0" borderId="10" xfId="86" applyNumberFormat="1" applyFont="1" applyFill="1" applyBorder="1" applyAlignment="1">
      <alignment vertical="top" wrapText="1"/>
      <protection/>
    </xf>
    <xf numFmtId="49" fontId="81" fillId="0" borderId="10" xfId="87" applyNumberFormat="1" applyFont="1" applyFill="1" applyBorder="1" applyAlignment="1">
      <alignment vertical="top" wrapText="1"/>
      <protection/>
    </xf>
    <xf numFmtId="49" fontId="81" fillId="0" borderId="10" xfId="70" applyNumberFormat="1" applyFont="1" applyFill="1" applyBorder="1" applyAlignment="1">
      <alignment vertical="top" wrapText="1"/>
      <protection/>
    </xf>
    <xf numFmtId="49" fontId="81" fillId="0" borderId="10" xfId="71" applyNumberFormat="1" applyFont="1" applyFill="1" applyBorder="1" applyAlignment="1">
      <alignment vertical="top" wrapText="1"/>
      <protection/>
    </xf>
    <xf numFmtId="49" fontId="81" fillId="0" borderId="10" xfId="72" applyNumberFormat="1" applyFont="1" applyFill="1" applyBorder="1" applyAlignment="1">
      <alignment vertical="top" wrapText="1"/>
      <protection/>
    </xf>
    <xf numFmtId="49" fontId="81" fillId="0" borderId="10" xfId="82" applyNumberFormat="1" applyFont="1" applyFill="1" applyBorder="1" applyAlignment="1">
      <alignment vertical="top" wrapText="1"/>
      <protection/>
    </xf>
    <xf numFmtId="49" fontId="81" fillId="0" borderId="10" xfId="85" applyNumberFormat="1" applyFont="1" applyFill="1" applyBorder="1" applyAlignment="1">
      <alignment vertical="top" wrapText="1"/>
      <protection/>
    </xf>
    <xf numFmtId="188" fontId="67" fillId="0" borderId="10" xfId="67" applyNumberFormat="1" applyFont="1" applyBorder="1" applyAlignment="1">
      <alignment horizontal="right" vertical="top"/>
      <protection/>
    </xf>
    <xf numFmtId="49" fontId="78" fillId="0" borderId="0" xfId="0" applyNumberFormat="1" applyFont="1" applyBorder="1" applyAlignment="1">
      <alignment horizontal="center" vertical="top"/>
    </xf>
    <xf numFmtId="49" fontId="66" fillId="0" borderId="0" xfId="0" applyNumberFormat="1" applyFont="1" applyAlignment="1">
      <alignment horizontal="left" vertical="top"/>
    </xf>
    <xf numFmtId="1" fontId="67" fillId="0" borderId="10" xfId="0" applyNumberFormat="1" applyFont="1" applyBorder="1" applyAlignment="1" quotePrefix="1">
      <alignment horizontal="center" vertical="center"/>
    </xf>
    <xf numFmtId="189" fontId="8" fillId="0" borderId="10" xfId="0" applyNumberFormat="1" applyFont="1" applyBorder="1" applyAlignment="1">
      <alignment vertical="center"/>
    </xf>
    <xf numFmtId="172" fontId="68" fillId="0" borderId="10" xfId="0" applyNumberFormat="1" applyFont="1" applyBorder="1" applyAlignment="1">
      <alignment horizontal="right" vertical="center"/>
    </xf>
    <xf numFmtId="172" fontId="7" fillId="0" borderId="10" xfId="0" applyNumberFormat="1" applyFont="1" applyBorder="1" applyAlignment="1">
      <alignment/>
    </xf>
    <xf numFmtId="189" fontId="67" fillId="0" borderId="10" xfId="0" applyNumberFormat="1" applyFont="1" applyBorder="1" applyAlignment="1">
      <alignment horizontal="right" vertical="top"/>
    </xf>
    <xf numFmtId="189" fontId="71" fillId="0" borderId="10" xfId="0" applyNumberFormat="1" applyFont="1" applyBorder="1" applyAlignment="1">
      <alignment horizontal="right"/>
    </xf>
    <xf numFmtId="189" fontId="8" fillId="0" borderId="14" xfId="0" applyNumberFormat="1" applyFont="1" applyBorder="1" applyAlignment="1">
      <alignment horizontal="right" vertical="center"/>
    </xf>
    <xf numFmtId="189" fontId="7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justify" wrapText="1"/>
    </xf>
    <xf numFmtId="172" fontId="6" fillId="0" borderId="0" xfId="0" applyNumberFormat="1" applyFont="1" applyAlignment="1">
      <alignment horizontal="center"/>
    </xf>
    <xf numFmtId="172" fontId="10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3" fillId="0" borderId="10" xfId="0" applyNumberFormat="1" applyFont="1" applyBorder="1" applyAlignment="1">
      <alignment vertical="justify"/>
    </xf>
    <xf numFmtId="1" fontId="8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/>
    </xf>
    <xf numFmtId="172" fontId="8" fillId="0" borderId="1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top"/>
    </xf>
    <xf numFmtId="173" fontId="7" fillId="0" borderId="24" xfId="42" applyNumberFormat="1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top" wrapText="1"/>
    </xf>
    <xf numFmtId="173" fontId="4" fillId="0" borderId="24" xfId="42" applyNumberFormat="1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2" fontId="10" fillId="0" borderId="10" xfId="42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2" fontId="10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172" fontId="5" fillId="0" borderId="10" xfId="42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4" fillId="0" borderId="10" xfId="42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72" fontId="10" fillId="33" borderId="10" xfId="42" applyNumberFormat="1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173" fontId="3" fillId="0" borderId="0" xfId="0" applyNumberFormat="1" applyFont="1" applyAlignment="1">
      <alignment/>
    </xf>
    <xf numFmtId="0" fontId="3" fillId="0" borderId="14" xfId="0" applyFont="1" applyFill="1" applyBorder="1" applyAlignment="1">
      <alignment vertical="center" wrapText="1"/>
    </xf>
    <xf numFmtId="0" fontId="67" fillId="33" borderId="10" xfId="0" applyFont="1" applyFill="1" applyBorder="1" applyAlignment="1">
      <alignment vertical="center" wrapText="1"/>
    </xf>
    <xf numFmtId="172" fontId="82" fillId="33" borderId="10" xfId="42" applyNumberFormat="1" applyFont="1" applyFill="1" applyBorder="1" applyAlignment="1">
      <alignment vertical="center" wrapText="1"/>
    </xf>
    <xf numFmtId="0" fontId="82" fillId="33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10" fillId="0" borderId="10" xfId="0" applyFont="1" applyBorder="1" applyAlignment="1">
      <alignment/>
    </xf>
    <xf numFmtId="172" fontId="5" fillId="0" borderId="10" xfId="42" applyNumberFormat="1" applyFont="1" applyFill="1" applyBorder="1" applyAlignment="1">
      <alignment horizontal="right" vertical="center" wrapText="1"/>
    </xf>
    <xf numFmtId="172" fontId="3" fillId="0" borderId="10" xfId="42" applyNumberFormat="1" applyFont="1" applyFill="1" applyBorder="1" applyAlignment="1">
      <alignment vertical="center" wrapText="1"/>
    </xf>
    <xf numFmtId="173" fontId="10" fillId="0" borderId="10" xfId="42" applyNumberFormat="1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67" fillId="0" borderId="10" xfId="0" applyNumberFormat="1" applyFont="1" applyBorder="1" applyAlignment="1">
      <alignment vertical="center"/>
    </xf>
    <xf numFmtId="172" fontId="10" fillId="0" borderId="10" xfId="42" applyNumberFormat="1" applyFont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vertical="center"/>
    </xf>
    <xf numFmtId="172" fontId="10" fillId="0" borderId="10" xfId="0" applyNumberFormat="1" applyFont="1" applyBorder="1" applyAlignment="1">
      <alignment vertical="center"/>
    </xf>
    <xf numFmtId="172" fontId="10" fillId="0" borderId="14" xfId="42" applyNumberFormat="1" applyFont="1" applyFill="1" applyBorder="1" applyAlignment="1">
      <alignment vertical="center" wrapText="1"/>
    </xf>
    <xf numFmtId="0" fontId="3" fillId="0" borderId="20" xfId="0" applyFont="1" applyBorder="1" applyAlignment="1">
      <alignment horizont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0" xfId="0" applyFont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49" fontId="67" fillId="0" borderId="10" xfId="0" applyNumberFormat="1" applyFont="1" applyBorder="1" applyAlignment="1">
      <alignment vertical="top"/>
    </xf>
    <xf numFmtId="0" fontId="5" fillId="0" borderId="10" xfId="0" applyFont="1" applyFill="1" applyBorder="1" applyAlignment="1">
      <alignment vertical="center" wrapText="1"/>
    </xf>
    <xf numFmtId="173" fontId="5" fillId="0" borderId="10" xfId="42" applyNumberFormat="1" applyFont="1" applyFill="1" applyBorder="1" applyAlignment="1">
      <alignment vertical="center" wrapText="1"/>
    </xf>
    <xf numFmtId="172" fontId="5" fillId="0" borderId="10" xfId="42" applyNumberFormat="1" applyFont="1" applyBorder="1" applyAlignment="1">
      <alignment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/>
    </xf>
    <xf numFmtId="0" fontId="8" fillId="0" borderId="26" xfId="0" applyFont="1" applyFill="1" applyBorder="1" applyAlignment="1">
      <alignment vertical="top"/>
    </xf>
    <xf numFmtId="0" fontId="7" fillId="0" borderId="15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vertical="top"/>
    </xf>
    <xf numFmtId="0" fontId="8" fillId="0" borderId="17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82" fillId="33" borderId="14" xfId="0" applyFont="1" applyFill="1" applyBorder="1" applyAlignment="1">
      <alignment horizontal="center" vertical="center" wrapText="1"/>
    </xf>
    <xf numFmtId="0" fontId="82" fillId="33" borderId="18" xfId="0" applyFont="1" applyFill="1" applyBorder="1" applyAlignment="1">
      <alignment horizontal="center" vertical="center" wrapText="1"/>
    </xf>
    <xf numFmtId="0" fontId="3" fillId="0" borderId="20" xfId="68" applyFont="1" applyBorder="1" applyAlignment="1">
      <alignment horizontal="left" vertical="center"/>
      <protection/>
    </xf>
    <xf numFmtId="0" fontId="3" fillId="0" borderId="21" xfId="68" applyFont="1" applyBorder="1" applyAlignment="1">
      <alignment horizontal="left" vertical="center"/>
      <protection/>
    </xf>
    <xf numFmtId="0" fontId="3" fillId="0" borderId="19" xfId="68" applyFont="1" applyBorder="1" applyAlignment="1">
      <alignment horizontal="left" vertical="center"/>
      <protection/>
    </xf>
    <xf numFmtId="0" fontId="71" fillId="0" borderId="0" xfId="68" applyFont="1" applyAlignment="1">
      <alignment horizontal="center"/>
      <protection/>
    </xf>
    <xf numFmtId="0" fontId="71" fillId="0" borderId="0" xfId="68" applyFont="1" applyAlignment="1">
      <alignment horizontal="center" vertical="center" wrapText="1"/>
      <protection/>
    </xf>
    <xf numFmtId="0" fontId="71" fillId="0" borderId="0" xfId="68" applyFont="1" applyAlignment="1">
      <alignment horizontal="center" vertical="center"/>
      <protection/>
    </xf>
    <xf numFmtId="0" fontId="74" fillId="0" borderId="0" xfId="69" applyFont="1" applyFill="1" applyAlignment="1">
      <alignment horizontal="center"/>
      <protection/>
    </xf>
    <xf numFmtId="0" fontId="66" fillId="0" borderId="10" xfId="69" applyFont="1" applyFill="1" applyBorder="1" applyAlignment="1">
      <alignment horizontal="center" vertical="center" wrapText="1"/>
      <protection/>
    </xf>
    <xf numFmtId="0" fontId="68" fillId="0" borderId="14" xfId="69" applyFont="1" applyFill="1" applyBorder="1" applyAlignment="1">
      <alignment horizontal="center" vertical="center" wrapText="1"/>
      <protection/>
    </xf>
    <xf numFmtId="0" fontId="68" fillId="0" borderId="27" xfId="69" applyFont="1" applyFill="1" applyBorder="1" applyAlignment="1">
      <alignment horizontal="center" vertical="center" wrapText="1"/>
      <protection/>
    </xf>
    <xf numFmtId="0" fontId="68" fillId="0" borderId="18" xfId="69" applyFont="1" applyFill="1" applyBorder="1" applyAlignment="1">
      <alignment horizontal="center" vertical="center" wrapText="1"/>
      <protection/>
    </xf>
    <xf numFmtId="0" fontId="68" fillId="0" borderId="14" xfId="69" applyFont="1" applyFill="1" applyBorder="1" applyAlignment="1">
      <alignment horizontal="center" vertical="center"/>
      <protection/>
    </xf>
    <xf numFmtId="0" fontId="68" fillId="0" borderId="27" xfId="69" applyFont="1" applyFill="1" applyBorder="1" applyAlignment="1">
      <alignment horizontal="center" vertical="center"/>
      <protection/>
    </xf>
    <xf numFmtId="0" fontId="68" fillId="0" borderId="18" xfId="69" applyFont="1" applyFill="1" applyBorder="1" applyAlignment="1">
      <alignment horizontal="center" vertical="center"/>
      <protection/>
    </xf>
    <xf numFmtId="1" fontId="68" fillId="0" borderId="14" xfId="69" applyNumberFormat="1" applyFont="1" applyFill="1" applyBorder="1" applyAlignment="1">
      <alignment horizontal="right" vertical="center"/>
      <protection/>
    </xf>
    <xf numFmtId="1" fontId="68" fillId="0" borderId="27" xfId="69" applyNumberFormat="1" applyFont="1" applyFill="1" applyBorder="1" applyAlignment="1">
      <alignment horizontal="right" vertical="center"/>
      <protection/>
    </xf>
    <xf numFmtId="1" fontId="68" fillId="0" borderId="18" xfId="69" applyNumberFormat="1" applyFont="1" applyFill="1" applyBorder="1" applyAlignment="1">
      <alignment horizontal="right" vertical="center"/>
      <protection/>
    </xf>
    <xf numFmtId="172" fontId="68" fillId="0" borderId="14" xfId="69" applyNumberFormat="1" applyFont="1" applyFill="1" applyBorder="1" applyAlignment="1">
      <alignment horizontal="right" vertical="center"/>
      <protection/>
    </xf>
    <xf numFmtId="172" fontId="68" fillId="0" borderId="27" xfId="69" applyNumberFormat="1" applyFont="1" applyFill="1" applyBorder="1" applyAlignment="1">
      <alignment horizontal="right" vertical="center"/>
      <protection/>
    </xf>
    <xf numFmtId="172" fontId="68" fillId="0" borderId="18" xfId="69" applyNumberFormat="1" applyFont="1" applyFill="1" applyBorder="1" applyAlignment="1">
      <alignment horizontal="right" vertical="center"/>
      <protection/>
    </xf>
    <xf numFmtId="1" fontId="68" fillId="0" borderId="14" xfId="69" applyNumberFormat="1" applyFont="1" applyFill="1" applyBorder="1" applyAlignment="1">
      <alignment vertical="center"/>
      <protection/>
    </xf>
    <xf numFmtId="1" fontId="68" fillId="0" borderId="27" xfId="69" applyNumberFormat="1" applyFont="1" applyFill="1" applyBorder="1" applyAlignment="1">
      <alignment vertical="center"/>
      <protection/>
    </xf>
    <xf numFmtId="1" fontId="68" fillId="0" borderId="18" xfId="69" applyNumberFormat="1" applyFont="1" applyFill="1" applyBorder="1" applyAlignment="1">
      <alignment vertical="center"/>
      <protection/>
    </xf>
    <xf numFmtId="0" fontId="66" fillId="0" borderId="10" xfId="69" applyFont="1" applyFill="1" applyBorder="1" applyAlignment="1">
      <alignment horizontal="center" vertical="center"/>
      <protection/>
    </xf>
    <xf numFmtId="0" fontId="71" fillId="0" borderId="10" xfId="69" applyFont="1" applyFill="1" applyBorder="1" applyAlignment="1">
      <alignment horizontal="center" vertical="center"/>
      <protection/>
    </xf>
    <xf numFmtId="0" fontId="66" fillId="0" borderId="14" xfId="69" applyFont="1" applyFill="1" applyBorder="1" applyAlignment="1">
      <alignment horizontal="center" vertical="center" wrapText="1"/>
      <protection/>
    </xf>
    <xf numFmtId="0" fontId="66" fillId="0" borderId="18" xfId="69" applyFont="1" applyFill="1" applyBorder="1" applyAlignment="1">
      <alignment horizontal="center" vertical="center" wrapText="1"/>
      <protection/>
    </xf>
    <xf numFmtId="0" fontId="66" fillId="0" borderId="28" xfId="69" applyFont="1" applyFill="1" applyBorder="1" applyAlignment="1">
      <alignment horizontal="center" vertical="center" wrapText="1"/>
      <protection/>
    </xf>
    <xf numFmtId="0" fontId="66" fillId="0" borderId="29" xfId="69" applyFont="1" applyFill="1" applyBorder="1" applyAlignment="1">
      <alignment horizontal="center" vertical="center" wrapText="1"/>
      <protection/>
    </xf>
    <xf numFmtId="0" fontId="68" fillId="0" borderId="10" xfId="0" applyFont="1" applyBorder="1" applyAlignment="1">
      <alignment horizontal="center" vertical="center" wrapText="1"/>
    </xf>
    <xf numFmtId="0" fontId="67" fillId="0" borderId="14" xfId="69" applyFont="1" applyFill="1" applyBorder="1" applyAlignment="1">
      <alignment horizontal="center" vertical="center" wrapText="1"/>
      <protection/>
    </xf>
    <xf numFmtId="0" fontId="67" fillId="0" borderId="27" xfId="69" applyFont="1" applyFill="1" applyBorder="1" applyAlignment="1">
      <alignment horizontal="center" vertical="center" wrapText="1"/>
      <protection/>
    </xf>
    <xf numFmtId="0" fontId="67" fillId="0" borderId="18" xfId="69" applyFont="1" applyFill="1" applyBorder="1" applyAlignment="1">
      <alignment horizontal="center" vertical="center" wrapText="1"/>
      <protection/>
    </xf>
    <xf numFmtId="0" fontId="67" fillId="0" borderId="14" xfId="69" applyFont="1" applyFill="1" applyBorder="1" applyAlignment="1">
      <alignment horizontal="center" vertical="center"/>
      <protection/>
    </xf>
    <xf numFmtId="0" fontId="67" fillId="0" borderId="27" xfId="69" applyFont="1" applyFill="1" applyBorder="1" applyAlignment="1">
      <alignment horizontal="center" vertical="center"/>
      <protection/>
    </xf>
    <xf numFmtId="0" fontId="67" fillId="0" borderId="18" xfId="69" applyFont="1" applyFill="1" applyBorder="1" applyAlignment="1">
      <alignment horizontal="center" vertical="center"/>
      <protection/>
    </xf>
    <xf numFmtId="172" fontId="67" fillId="0" borderId="14" xfId="69" applyNumberFormat="1" applyFont="1" applyFill="1" applyBorder="1" applyAlignment="1">
      <alignment horizontal="right" vertical="center"/>
      <protection/>
    </xf>
    <xf numFmtId="172" fontId="67" fillId="0" borderId="27" xfId="69" applyNumberFormat="1" applyFont="1" applyFill="1" applyBorder="1" applyAlignment="1">
      <alignment horizontal="right" vertical="center"/>
      <protection/>
    </xf>
    <xf numFmtId="172" fontId="67" fillId="0" borderId="18" xfId="69" applyNumberFormat="1" applyFont="1" applyFill="1" applyBorder="1" applyAlignment="1">
      <alignment horizontal="right" vertical="center"/>
      <protection/>
    </xf>
    <xf numFmtId="1" fontId="67" fillId="0" borderId="14" xfId="69" applyNumberFormat="1" applyFont="1" applyFill="1" applyBorder="1" applyAlignment="1">
      <alignment horizontal="right" vertical="center"/>
      <protection/>
    </xf>
    <xf numFmtId="1" fontId="67" fillId="0" borderId="27" xfId="69" applyNumberFormat="1" applyFont="1" applyFill="1" applyBorder="1" applyAlignment="1">
      <alignment horizontal="right" vertical="center"/>
      <protection/>
    </xf>
    <xf numFmtId="1" fontId="67" fillId="0" borderId="18" xfId="69" applyNumberFormat="1" applyFont="1" applyFill="1" applyBorder="1" applyAlignment="1">
      <alignment horizontal="right" vertical="center"/>
      <protection/>
    </xf>
    <xf numFmtId="0" fontId="66" fillId="0" borderId="20" xfId="69" applyFont="1" applyFill="1" applyBorder="1" applyAlignment="1">
      <alignment horizontal="center" vertical="center" wrapText="1"/>
      <protection/>
    </xf>
    <xf numFmtId="0" fontId="66" fillId="0" borderId="21" xfId="69" applyFont="1" applyFill="1" applyBorder="1" applyAlignment="1">
      <alignment horizontal="center" vertical="center" wrapText="1"/>
      <protection/>
    </xf>
    <xf numFmtId="0" fontId="66" fillId="0" borderId="19" xfId="69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49" fontId="67" fillId="0" borderId="0" xfId="0" applyNumberFormat="1" applyFont="1" applyBorder="1" applyAlignment="1">
      <alignment vertical="top"/>
    </xf>
    <xf numFmtId="49" fontId="67" fillId="0" borderId="0" xfId="0" applyNumberFormat="1" applyFont="1" applyAlignment="1">
      <alignment vertical="top"/>
    </xf>
    <xf numFmtId="49" fontId="80" fillId="0" borderId="0" xfId="0" applyNumberFormat="1" applyFont="1" applyBorder="1" applyAlignment="1">
      <alignment horizontal="center" vertical="top"/>
    </xf>
    <xf numFmtId="49" fontId="78" fillId="0" borderId="0" xfId="0" applyNumberFormat="1" applyFont="1" applyBorder="1" applyAlignment="1">
      <alignment horizontal="center" vertical="top"/>
    </xf>
    <xf numFmtId="189" fontId="4" fillId="0" borderId="30" xfId="0" applyNumberFormat="1" applyFont="1" applyFill="1" applyBorder="1" applyAlignment="1">
      <alignment horizontal="center" vertical="center" wrapText="1"/>
    </xf>
    <xf numFmtId="189" fontId="4" fillId="0" borderId="31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16" fontId="9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9" fontId="80" fillId="0" borderId="0" xfId="0" applyNumberFormat="1" applyFont="1" applyAlignment="1">
      <alignment horizontal="center" vertical="top"/>
    </xf>
    <xf numFmtId="0" fontId="3" fillId="0" borderId="1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70" fillId="0" borderId="0" xfId="68" applyFont="1" applyFill="1" applyAlignment="1">
      <alignment horizontal="center" vertical="center"/>
      <protection/>
    </xf>
    <xf numFmtId="0" fontId="80" fillId="0" borderId="0" xfId="68" applyFont="1" applyFill="1" applyBorder="1" applyAlignment="1">
      <alignment horizontal="center" vertical="center"/>
      <protection/>
    </xf>
    <xf numFmtId="1" fontId="4" fillId="0" borderId="10" xfId="68" applyNumberFormat="1" applyFont="1" applyFill="1" applyBorder="1" applyAlignment="1">
      <alignment horizontal="center" vertical="center" wrapText="1"/>
      <protection/>
    </xf>
    <xf numFmtId="0" fontId="66" fillId="0" borderId="14" xfId="68" applyFont="1" applyFill="1" applyBorder="1" applyAlignment="1">
      <alignment horizontal="center" vertical="center" wrapText="1"/>
      <protection/>
    </xf>
    <xf numFmtId="0" fontId="66" fillId="0" borderId="18" xfId="68" applyFont="1" applyFill="1" applyBorder="1" applyAlignment="1">
      <alignment horizontal="center" vertical="center" wrapText="1"/>
      <protection/>
    </xf>
    <xf numFmtId="1" fontId="4" fillId="0" borderId="14" xfId="68" applyNumberFormat="1" applyFont="1" applyFill="1" applyBorder="1" applyAlignment="1">
      <alignment horizontal="center" vertical="center" wrapText="1"/>
      <protection/>
    </xf>
    <xf numFmtId="1" fontId="4" fillId="0" borderId="18" xfId="68" applyNumberFormat="1" applyFont="1" applyFill="1" applyBorder="1" applyAlignment="1">
      <alignment horizontal="center" vertical="center" wrapText="1"/>
      <protection/>
    </xf>
    <xf numFmtId="0" fontId="75" fillId="0" borderId="0" xfId="68" applyFont="1" applyFill="1" applyBorder="1" applyAlignment="1">
      <alignment horizontal="center" vertical="center"/>
      <protection/>
    </xf>
    <xf numFmtId="0" fontId="4" fillId="0" borderId="10" xfId="68" applyNumberFormat="1" applyFont="1" applyFill="1" applyBorder="1" applyAlignment="1" quotePrefix="1">
      <alignment horizontal="center" vertical="center"/>
      <protection/>
    </xf>
    <xf numFmtId="0" fontId="4" fillId="0" borderId="14" xfId="68" applyFont="1" applyFill="1" applyBorder="1" applyAlignment="1">
      <alignment horizontal="center" vertical="center" wrapText="1"/>
      <protection/>
    </xf>
    <xf numFmtId="0" fontId="4" fillId="0" borderId="18" xfId="68" applyFont="1" applyFill="1" applyBorder="1" applyAlignment="1">
      <alignment horizontal="center" vertical="center" wrapText="1"/>
      <protection/>
    </xf>
    <xf numFmtId="0" fontId="4" fillId="0" borderId="0" xfId="68" applyFont="1" applyAlignment="1">
      <alignment horizontal="center" vertical="center"/>
      <protection/>
    </xf>
    <xf numFmtId="0" fontId="4" fillId="0" borderId="10" xfId="68" applyFont="1" applyFill="1" applyBorder="1" applyAlignment="1">
      <alignment horizontal="center" vertical="center"/>
      <protection/>
    </xf>
    <xf numFmtId="0" fontId="66" fillId="0" borderId="20" xfId="68" applyFont="1" applyFill="1" applyBorder="1" applyAlignment="1">
      <alignment horizontal="center" vertical="center" wrapText="1"/>
      <protection/>
    </xf>
    <xf numFmtId="0" fontId="66" fillId="0" borderId="21" xfId="68" applyFont="1" applyFill="1" applyBorder="1" applyAlignment="1">
      <alignment horizontal="center" vertical="center" wrapText="1"/>
      <protection/>
    </xf>
    <xf numFmtId="0" fontId="66" fillId="0" borderId="19" xfId="68" applyFont="1" applyFill="1" applyBorder="1" applyAlignment="1">
      <alignment horizontal="center" vertical="center" wrapText="1"/>
      <protection/>
    </xf>
    <xf numFmtId="49" fontId="75" fillId="0" borderId="0" xfId="0" applyNumberFormat="1" applyFont="1" applyAlignment="1">
      <alignment horizontal="left" vertical="top"/>
    </xf>
    <xf numFmtId="49" fontId="75" fillId="0" borderId="0" xfId="0" applyNumberFormat="1" applyFont="1" applyAlignment="1">
      <alignment horizontal="center" vertical="top"/>
    </xf>
    <xf numFmtId="49" fontId="66" fillId="0" borderId="0" xfId="0" applyNumberFormat="1" applyFont="1" applyAlignment="1">
      <alignment horizontal="center" vertical="top"/>
    </xf>
    <xf numFmtId="49" fontId="75" fillId="0" borderId="0" xfId="0" applyNumberFormat="1" applyFont="1" applyBorder="1" applyAlignment="1">
      <alignment horizontal="center" vertical="top"/>
    </xf>
    <xf numFmtId="49" fontId="66" fillId="0" borderId="0" xfId="0" applyNumberFormat="1" applyFont="1" applyAlignment="1">
      <alignment horizontal="left" vertical="top"/>
    </xf>
    <xf numFmtId="49" fontId="78" fillId="0" borderId="0" xfId="0" applyNumberFormat="1" applyFont="1" applyFill="1" applyBorder="1" applyAlignment="1">
      <alignment horizontal="center" vertical="top"/>
    </xf>
    <xf numFmtId="49" fontId="80" fillId="0" borderId="0" xfId="0" applyNumberFormat="1" applyFont="1" applyFill="1" applyBorder="1" applyAlignment="1">
      <alignment horizontal="center" vertical="top"/>
    </xf>
    <xf numFmtId="49" fontId="66" fillId="0" borderId="0" xfId="0" applyNumberFormat="1" applyFont="1" applyFill="1" applyAlignment="1">
      <alignment horizontal="left" vertical="top"/>
    </xf>
    <xf numFmtId="0" fontId="2" fillId="0" borderId="0" xfId="0" applyFont="1" applyAlignment="1">
      <alignment horizontal="left" vertical="center" wrapText="1"/>
    </xf>
  </cellXfs>
  <cellStyles count="1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19" xfId="67"/>
    <cellStyle name="Normal 2" xfId="68"/>
    <cellStyle name="Normal 2 2" xfId="69"/>
    <cellStyle name="Normal 20" xfId="70"/>
    <cellStyle name="Normal 21" xfId="71"/>
    <cellStyle name="Normal 22" xfId="72"/>
    <cellStyle name="Normal 23" xfId="73"/>
    <cellStyle name="Normal 24" xfId="74"/>
    <cellStyle name="Normal 25" xfId="75"/>
    <cellStyle name="Normal 26" xfId="76"/>
    <cellStyle name="Normal 27" xfId="77"/>
    <cellStyle name="Normal 28" xfId="78"/>
    <cellStyle name="Normal 29" xfId="79"/>
    <cellStyle name="Normal 3" xfId="80"/>
    <cellStyle name="Normal 30" xfId="81"/>
    <cellStyle name="Normal 31" xfId="82"/>
    <cellStyle name="Normal 32" xfId="83"/>
    <cellStyle name="Normal 33" xfId="84"/>
    <cellStyle name="Normal 34" xfId="85"/>
    <cellStyle name="Normal 35" xfId="86"/>
    <cellStyle name="Normal 36" xfId="87"/>
    <cellStyle name="Normal 37" xfId="88"/>
    <cellStyle name="Normal 38" xfId="89"/>
    <cellStyle name="Normal 39" xfId="90"/>
    <cellStyle name="Normal 4" xfId="91"/>
    <cellStyle name="Normal 40" xfId="92"/>
    <cellStyle name="Normal 41" xfId="93"/>
    <cellStyle name="Normal 42" xfId="94"/>
    <cellStyle name="Normal 44" xfId="95"/>
    <cellStyle name="Normal 45" xfId="96"/>
    <cellStyle name="Normal 46" xfId="97"/>
    <cellStyle name="Normal 47" xfId="98"/>
    <cellStyle name="Normal 48" xfId="99"/>
    <cellStyle name="Normal 49" xfId="100"/>
    <cellStyle name="Normal 5" xfId="101"/>
    <cellStyle name="Normal 50" xfId="102"/>
    <cellStyle name="Normal 56" xfId="103"/>
    <cellStyle name="Normal 57" xfId="104"/>
    <cellStyle name="Normal 58" xfId="105"/>
    <cellStyle name="Normal 6" xfId="106"/>
    <cellStyle name="Normal 7" xfId="107"/>
    <cellStyle name="Normal 8" xfId="108"/>
    <cellStyle name="Normal 9" xfId="109"/>
    <cellStyle name="Note" xfId="110"/>
    <cellStyle name="Output" xfId="111"/>
    <cellStyle name="Percent" xfId="112"/>
    <cellStyle name="Title" xfId="113"/>
    <cellStyle name="Total" xfId="114"/>
    <cellStyle name="Warning Text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externalLink" Target="externalLinks/externalLink1.xml" /><Relationship Id="rId5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%20drive%20data\Backup%20Patil%20sir\PRPATIL\SIBACA%20ALL%20BUDGET\SIBACA%20%20REVISED%20BUDGET%20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MC REVISED BUDGET 18-19"/>
      <sheetName val="GB BUDGET"/>
      <sheetName val="ANN 1"/>
      <sheetName val="ANN 2"/>
      <sheetName val="ANN 2A"/>
      <sheetName val="ANN 2B"/>
      <sheetName val="ANN 2C"/>
      <sheetName val="ANN 3"/>
      <sheetName val="ANN 4"/>
      <sheetName val="ANN 5"/>
      <sheetName val="ANN 6"/>
      <sheetName val="ANN 7"/>
      <sheetName val="ANN 8"/>
      <sheetName val="ANN 9"/>
      <sheetName val="ANN 10"/>
      <sheetName val="ANN 11"/>
      <sheetName val="ANN-12 alumini fee"/>
      <sheetName val="ANN 13 MISC INCOME"/>
      <sheetName val="ANN 14 EQUIPMENTS"/>
      <sheetName val="ANN 15 LIBRARY BOOKS"/>
      <sheetName val="Ann- 16 FURNT. &amp; FIX."/>
      <sheetName val="Salary &amp; wages"/>
      <sheetName val="ANN 17 SALARY"/>
      <sheetName val="ANN 18 REMN TO GUEST"/>
      <sheetName val="ANN 19 TRAV &amp; EXP"/>
      <sheetName val="TRAVEL. &amp; CONV."/>
      <sheetName val="ANN-20 committe visit exp"/>
      <sheetName val="ANN-21 NESPAPAER &amp; PERIODICAL"/>
      <sheetName val="ANN-22 GATH. &amp; CUL.EXP"/>
      <sheetName val="Ann-23 seminar &amp; exbh."/>
      <sheetName val="ANN 24 off. exp."/>
      <sheetName val=" off. exps"/>
      <sheetName val="ANN 25 prin. &amp; stat"/>
      <sheetName val="Print. &amp; Station."/>
      <sheetName val="ANN 26- postage"/>
      <sheetName val="ANN 27"/>
      <sheetName val="student welfare &amp; Alumini"/>
      <sheetName val="Ann 28 Staff Welfare"/>
      <sheetName val="ANN 29 repairs"/>
      <sheetName val="ANN 30 consumable"/>
      <sheetName val="Ann- 31 Affiliation fee"/>
      <sheetName val="ANN 32 BANK CHARGES"/>
      <sheetName val="ANN 33 R&amp;D"/>
      <sheetName val="ANN 34 NAAC EXPENSES"/>
      <sheetName val="ANN 35 exam expense"/>
      <sheetName val="Ann 36 Train &amp; Place"/>
      <sheetName val="Ann 37 Adv. &amp; Pub."/>
      <sheetName val="Ann 38 Soft. Exp"/>
      <sheetName val="ANN 39 REFUND OF DEPOSIT"/>
    </sheetNames>
    <sheetDataSet>
      <sheetData sheetId="27">
        <row r="10">
          <cell r="D10">
            <v>514</v>
          </cell>
        </row>
        <row r="24">
          <cell r="D24">
            <v>29000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4"/>
  <sheetViews>
    <sheetView zoomScaleSheetLayoutView="100" zoomScalePageLayoutView="0" workbookViewId="0" topLeftCell="B109">
      <selection activeCell="D10" sqref="D10"/>
    </sheetView>
  </sheetViews>
  <sheetFormatPr defaultColWidth="9.140625" defaultRowHeight="12.75"/>
  <cols>
    <col min="1" max="1" width="2.28125" style="1" hidden="1" customWidth="1"/>
    <col min="2" max="2" width="34.00390625" style="1" customWidth="1"/>
    <col min="3" max="3" width="16.140625" style="1" customWidth="1"/>
    <col min="4" max="4" width="16.7109375" style="1" customWidth="1"/>
    <col min="5" max="5" width="5.28125" style="1" customWidth="1"/>
    <col min="6" max="6" width="30.28125" style="1" customWidth="1"/>
    <col min="7" max="7" width="17.00390625" style="1" customWidth="1"/>
    <col min="8" max="8" width="16.57421875" style="1" customWidth="1"/>
    <col min="9" max="9" width="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2" spans="2:9" ht="16.5">
      <c r="B2" s="489" t="s">
        <v>76</v>
      </c>
      <c r="C2" s="490"/>
      <c r="D2" s="490"/>
      <c r="E2" s="490"/>
      <c r="F2" s="490"/>
      <c r="G2" s="490"/>
      <c r="H2" s="490"/>
      <c r="I2" s="490"/>
    </row>
    <row r="3" spans="2:9" ht="15">
      <c r="B3" s="491" t="s">
        <v>44</v>
      </c>
      <c r="C3" s="491"/>
      <c r="D3" s="491"/>
      <c r="E3" s="491"/>
      <c r="F3" s="491"/>
      <c r="G3" s="491"/>
      <c r="H3" s="491"/>
      <c r="I3" s="491"/>
    </row>
    <row r="4" spans="2:9" ht="18">
      <c r="B4" s="492" t="s">
        <v>848</v>
      </c>
      <c r="C4" s="492"/>
      <c r="D4" s="492"/>
      <c r="E4" s="492"/>
      <c r="F4" s="492"/>
      <c r="G4" s="492"/>
      <c r="H4" s="492"/>
      <c r="I4" s="492"/>
    </row>
    <row r="5" spans="2:9" ht="15.75" thickBot="1">
      <c r="B5" s="431"/>
      <c r="C5" s="431"/>
      <c r="D5" s="431"/>
      <c r="E5" s="431"/>
      <c r="F5" s="431"/>
      <c r="G5" s="431"/>
      <c r="H5" s="431"/>
      <c r="I5" s="431"/>
    </row>
    <row r="6" spans="2:9" ht="15.75" thickBot="1">
      <c r="B6" s="493" t="s">
        <v>0</v>
      </c>
      <c r="C6" s="494"/>
      <c r="D6" s="494"/>
      <c r="E6" s="494"/>
      <c r="F6" s="495" t="s">
        <v>1</v>
      </c>
      <c r="G6" s="496"/>
      <c r="H6" s="497"/>
      <c r="I6" s="498"/>
    </row>
    <row r="7" spans="2:9" ht="15.75" thickBot="1">
      <c r="B7" s="432"/>
      <c r="C7" s="433" t="s">
        <v>2</v>
      </c>
      <c r="D7" s="433" t="s">
        <v>259</v>
      </c>
      <c r="E7" s="432"/>
      <c r="F7" s="432"/>
      <c r="G7" s="433" t="s">
        <v>2</v>
      </c>
      <c r="H7" s="433" t="s">
        <v>259</v>
      </c>
      <c r="I7" s="434"/>
    </row>
    <row r="8" spans="2:9" ht="69" customHeight="1" thickBot="1">
      <c r="B8" s="435" t="s">
        <v>4</v>
      </c>
      <c r="C8" s="436" t="s">
        <v>823</v>
      </c>
      <c r="D8" s="436" t="s">
        <v>843</v>
      </c>
      <c r="E8" s="435" t="s">
        <v>318</v>
      </c>
      <c r="F8" s="435" t="s">
        <v>4</v>
      </c>
      <c r="G8" s="436" t="s">
        <v>841</v>
      </c>
      <c r="H8" s="436" t="s">
        <v>842</v>
      </c>
      <c r="I8" s="437" t="s">
        <v>318</v>
      </c>
    </row>
    <row r="9" spans="2:9" ht="15">
      <c r="B9" s="438" t="s">
        <v>5</v>
      </c>
      <c r="C9" s="439"/>
      <c r="D9" s="439"/>
      <c r="E9" s="439"/>
      <c r="F9" s="438" t="s">
        <v>6</v>
      </c>
      <c r="G9" s="439"/>
      <c r="H9" s="439"/>
      <c r="I9" s="439"/>
    </row>
    <row r="10" spans="2:9" ht="45">
      <c r="B10" s="438"/>
      <c r="C10" s="439"/>
      <c r="D10" s="439"/>
      <c r="E10" s="439"/>
      <c r="F10" s="440" t="s">
        <v>80</v>
      </c>
      <c r="G10" s="441">
        <v>0</v>
      </c>
      <c r="H10" s="472">
        <v>0</v>
      </c>
      <c r="I10" s="442"/>
    </row>
    <row r="11" spans="2:9" ht="16.5">
      <c r="B11" s="443" t="s">
        <v>7</v>
      </c>
      <c r="C11" s="263">
        <f>37079920.91-148689</f>
        <v>36931231.91</v>
      </c>
      <c r="D11" s="263">
        <v>21221201.91</v>
      </c>
      <c r="E11" s="445"/>
      <c r="F11" s="443" t="s">
        <v>8</v>
      </c>
      <c r="G11" s="441">
        <v>0</v>
      </c>
      <c r="H11" s="444">
        <v>296000</v>
      </c>
      <c r="I11" s="446">
        <v>16</v>
      </c>
    </row>
    <row r="12" spans="2:9" ht="16.5">
      <c r="B12" s="443"/>
      <c r="C12" s="441"/>
      <c r="D12" s="58"/>
      <c r="E12" s="445"/>
      <c r="F12" s="443" t="s">
        <v>9</v>
      </c>
      <c r="G12" s="441">
        <v>0</v>
      </c>
      <c r="H12" s="444">
        <v>57000</v>
      </c>
      <c r="I12" s="446">
        <v>17</v>
      </c>
    </row>
    <row r="13" spans="2:9" ht="16.5">
      <c r="B13" s="443"/>
      <c r="C13" s="441"/>
      <c r="D13" s="58"/>
      <c r="E13" s="445"/>
      <c r="F13" s="443" t="s">
        <v>10</v>
      </c>
      <c r="G13" s="441">
        <v>0</v>
      </c>
      <c r="H13" s="444">
        <v>0</v>
      </c>
      <c r="I13" s="446">
        <v>18</v>
      </c>
    </row>
    <row r="14" spans="2:9" ht="15.75">
      <c r="B14" s="447" t="s">
        <v>11</v>
      </c>
      <c r="C14" s="448">
        <f>C11</f>
        <v>36931231.91</v>
      </c>
      <c r="D14" s="448">
        <f>D11</f>
        <v>21221201.91</v>
      </c>
      <c r="E14" s="445"/>
      <c r="F14" s="447" t="s">
        <v>12</v>
      </c>
      <c r="G14" s="448">
        <f>SUM(G10:G13)</f>
        <v>0</v>
      </c>
      <c r="H14" s="448">
        <f>SUM(H10:H13)</f>
        <v>353000</v>
      </c>
      <c r="I14" s="446"/>
    </row>
    <row r="15" spans="2:9" ht="16.5">
      <c r="B15" s="449" t="s">
        <v>13</v>
      </c>
      <c r="C15" s="441"/>
      <c r="D15" s="58"/>
      <c r="E15" s="445"/>
      <c r="F15" s="449" t="s">
        <v>14</v>
      </c>
      <c r="G15" s="441"/>
      <c r="H15" s="444"/>
      <c r="I15" s="446"/>
    </row>
    <row r="16" spans="2:9" ht="16.5">
      <c r="B16" s="450" t="s">
        <v>15</v>
      </c>
      <c r="C16" s="441"/>
      <c r="D16" s="58"/>
      <c r="E16" s="445"/>
      <c r="F16" s="451" t="s">
        <v>45</v>
      </c>
      <c r="G16" s="441"/>
      <c r="H16" s="444"/>
      <c r="I16" s="446"/>
    </row>
    <row r="17" spans="2:11" ht="60">
      <c r="B17" s="443" t="s">
        <v>46</v>
      </c>
      <c r="C17" s="441">
        <v>24530730</v>
      </c>
      <c r="D17" s="472">
        <v>18540000</v>
      </c>
      <c r="E17" s="445">
        <v>1</v>
      </c>
      <c r="F17" s="452" t="s">
        <v>47</v>
      </c>
      <c r="G17" s="441">
        <v>35722941</v>
      </c>
      <c r="H17" s="472">
        <v>33775406</v>
      </c>
      <c r="I17" s="454">
        <v>19</v>
      </c>
      <c r="K17" s="455" t="s">
        <v>79</v>
      </c>
    </row>
    <row r="18" spans="2:11" ht="30">
      <c r="B18" s="449" t="s">
        <v>48</v>
      </c>
      <c r="C18" s="441"/>
      <c r="D18" s="472"/>
      <c r="E18" s="445" t="s">
        <v>79</v>
      </c>
      <c r="F18" s="452" t="s">
        <v>30</v>
      </c>
      <c r="G18" s="441">
        <v>25000</v>
      </c>
      <c r="H18" s="472">
        <v>55000</v>
      </c>
      <c r="I18" s="446">
        <v>20</v>
      </c>
      <c r="K18" s="455"/>
    </row>
    <row r="19" spans="2:11" ht="15.75">
      <c r="B19" s="443"/>
      <c r="C19" s="441"/>
      <c r="D19" s="472"/>
      <c r="E19" s="445"/>
      <c r="F19" s="452" t="s">
        <v>49</v>
      </c>
      <c r="G19" s="441">
        <v>25996</v>
      </c>
      <c r="H19" s="472">
        <v>20000</v>
      </c>
      <c r="I19" s="454">
        <v>21</v>
      </c>
      <c r="K19" s="455"/>
    </row>
    <row r="20" spans="2:11" ht="15.75">
      <c r="B20" s="443" t="s">
        <v>260</v>
      </c>
      <c r="C20" s="441">
        <v>0</v>
      </c>
      <c r="D20" s="472">
        <v>0</v>
      </c>
      <c r="E20" s="456"/>
      <c r="F20" s="457" t="s">
        <v>50</v>
      </c>
      <c r="G20" s="441">
        <v>40000</v>
      </c>
      <c r="H20" s="472">
        <v>0</v>
      </c>
      <c r="I20" s="459">
        <v>22</v>
      </c>
      <c r="K20" s="455"/>
    </row>
    <row r="21" spans="2:11" ht="15.75">
      <c r="B21" s="443" t="s">
        <v>261</v>
      </c>
      <c r="C21" s="441">
        <v>2580</v>
      </c>
      <c r="D21" s="472">
        <v>3600</v>
      </c>
      <c r="E21" s="499">
        <v>2</v>
      </c>
      <c r="F21" s="457" t="s">
        <v>51</v>
      </c>
      <c r="G21" s="441">
        <v>4000</v>
      </c>
      <c r="H21" s="472">
        <v>5000</v>
      </c>
      <c r="I21" s="500">
        <v>23</v>
      </c>
      <c r="K21" s="455"/>
    </row>
    <row r="22" spans="2:11" ht="15.75">
      <c r="B22" s="443" t="s">
        <v>326</v>
      </c>
      <c r="C22" s="441">
        <v>96496</v>
      </c>
      <c r="D22" s="472">
        <v>60976</v>
      </c>
      <c r="E22" s="499"/>
      <c r="F22" s="457" t="s">
        <v>52</v>
      </c>
      <c r="G22" s="441">
        <v>36000</v>
      </c>
      <c r="H22" s="472">
        <v>105000</v>
      </c>
      <c r="I22" s="501"/>
      <c r="K22" s="455"/>
    </row>
    <row r="23" spans="2:11" ht="30">
      <c r="B23" s="443" t="s">
        <v>39</v>
      </c>
      <c r="C23" s="441">
        <v>163000</v>
      </c>
      <c r="D23" s="472">
        <v>103000</v>
      </c>
      <c r="E23" s="499"/>
      <c r="F23" s="457" t="s">
        <v>53</v>
      </c>
      <c r="G23" s="441">
        <v>50000</v>
      </c>
      <c r="H23" s="472">
        <v>50000</v>
      </c>
      <c r="I23" s="459">
        <v>24</v>
      </c>
      <c r="K23" s="455"/>
    </row>
    <row r="24" spans="2:11" ht="15.75">
      <c r="B24" s="443" t="s">
        <v>824</v>
      </c>
      <c r="C24" s="441">
        <v>64100</v>
      </c>
      <c r="D24" s="472">
        <v>33500</v>
      </c>
      <c r="E24" s="499"/>
      <c r="F24" s="457" t="s">
        <v>54</v>
      </c>
      <c r="G24" s="441">
        <v>70000</v>
      </c>
      <c r="H24" s="472">
        <v>125000</v>
      </c>
      <c r="I24" s="459">
        <v>25</v>
      </c>
      <c r="K24" s="455"/>
    </row>
    <row r="25" spans="2:11" ht="30">
      <c r="B25" s="443" t="s">
        <v>825</v>
      </c>
      <c r="C25" s="441">
        <v>107500</v>
      </c>
      <c r="D25" s="472">
        <v>150000</v>
      </c>
      <c r="E25" s="499"/>
      <c r="F25" s="452" t="s">
        <v>55</v>
      </c>
      <c r="G25" s="441">
        <v>0</v>
      </c>
      <c r="H25" s="472">
        <v>0</v>
      </c>
      <c r="I25" s="454"/>
      <c r="K25" s="455"/>
    </row>
    <row r="26" spans="2:11" ht="15.75">
      <c r="B26" s="443" t="s">
        <v>124</v>
      </c>
      <c r="C26" s="441">
        <v>4075</v>
      </c>
      <c r="D26" s="472">
        <v>2575</v>
      </c>
      <c r="E26" s="499"/>
      <c r="F26" s="443" t="s">
        <v>81</v>
      </c>
      <c r="G26" s="441">
        <v>699364</v>
      </c>
      <c r="H26" s="472">
        <v>435353</v>
      </c>
      <c r="I26" s="460">
        <v>4</v>
      </c>
      <c r="K26" s="455"/>
    </row>
    <row r="27" spans="2:11" ht="15.75">
      <c r="B27" s="443" t="s">
        <v>57</v>
      </c>
      <c r="C27" s="441">
        <v>34650</v>
      </c>
      <c r="D27" s="472">
        <v>39000</v>
      </c>
      <c r="E27" s="461">
        <v>3</v>
      </c>
      <c r="F27" s="443" t="s">
        <v>82</v>
      </c>
      <c r="G27" s="441">
        <v>0</v>
      </c>
      <c r="H27" s="472">
        <v>0</v>
      </c>
      <c r="I27" s="462"/>
      <c r="K27" s="455"/>
    </row>
    <row r="28" spans="2:11" ht="30">
      <c r="B28" s="443" t="s">
        <v>56</v>
      </c>
      <c r="C28" s="441">
        <v>749230</v>
      </c>
      <c r="D28" s="472">
        <v>468815</v>
      </c>
      <c r="E28" s="445">
        <v>4</v>
      </c>
      <c r="F28" s="443" t="s">
        <v>58</v>
      </c>
      <c r="G28" s="441">
        <v>29530</v>
      </c>
      <c r="H28" s="472">
        <f>24600+8640</f>
        <v>33240</v>
      </c>
      <c r="I28" s="482">
        <v>3</v>
      </c>
      <c r="K28" s="455"/>
    </row>
    <row r="29" spans="2:9" ht="15.75">
      <c r="B29" s="443" t="s">
        <v>82</v>
      </c>
      <c r="C29" s="441">
        <v>0</v>
      </c>
      <c r="D29" s="472">
        <v>0</v>
      </c>
      <c r="E29" s="463"/>
      <c r="F29" s="443" t="s">
        <v>33</v>
      </c>
      <c r="G29" s="441">
        <v>0</v>
      </c>
      <c r="H29" s="472">
        <v>0</v>
      </c>
      <c r="I29" s="446"/>
    </row>
    <row r="30" spans="2:11" ht="15.75">
      <c r="B30" s="443" t="s">
        <v>273</v>
      </c>
      <c r="C30" s="441">
        <v>0</v>
      </c>
      <c r="D30" s="472">
        <v>0</v>
      </c>
      <c r="E30" s="445" t="s">
        <v>79</v>
      </c>
      <c r="F30" s="443" t="s">
        <v>123</v>
      </c>
      <c r="G30" s="441">
        <v>3423</v>
      </c>
      <c r="H30" s="472">
        <v>2163</v>
      </c>
      <c r="I30" s="483">
        <v>2</v>
      </c>
      <c r="K30" s="455"/>
    </row>
    <row r="31" spans="2:9" ht="15.75">
      <c r="B31" s="443" t="s">
        <v>33</v>
      </c>
      <c r="C31" s="441">
        <v>0</v>
      </c>
      <c r="D31" s="472">
        <v>0</v>
      </c>
      <c r="E31" s="445"/>
      <c r="F31" s="443" t="s">
        <v>326</v>
      </c>
      <c r="G31" s="441">
        <v>29274</v>
      </c>
      <c r="H31" s="472">
        <v>19319</v>
      </c>
      <c r="I31" s="484"/>
    </row>
    <row r="32" spans="2:11" ht="15.75">
      <c r="B32" s="443" t="s">
        <v>36</v>
      </c>
      <c r="C32" s="441">
        <v>0</v>
      </c>
      <c r="D32" s="472">
        <v>0</v>
      </c>
      <c r="E32" s="445"/>
      <c r="F32" s="452" t="s">
        <v>61</v>
      </c>
      <c r="G32" s="441">
        <v>29983</v>
      </c>
      <c r="H32" s="472">
        <v>25000</v>
      </c>
      <c r="I32" s="446">
        <v>26</v>
      </c>
      <c r="K32" s="455"/>
    </row>
    <row r="33" spans="2:9" ht="15.75">
      <c r="B33" s="443" t="s">
        <v>29</v>
      </c>
      <c r="C33" s="441">
        <v>0</v>
      </c>
      <c r="D33" s="472">
        <v>0</v>
      </c>
      <c r="E33" s="445"/>
      <c r="F33" s="452" t="s">
        <v>16</v>
      </c>
      <c r="G33" s="441">
        <v>51873</v>
      </c>
      <c r="H33" s="472">
        <v>40000</v>
      </c>
      <c r="I33" s="446">
        <v>27</v>
      </c>
    </row>
    <row r="34" spans="2:9" ht="30">
      <c r="B34" s="443" t="s">
        <v>35</v>
      </c>
      <c r="C34" s="441">
        <v>0</v>
      </c>
      <c r="D34" s="472">
        <v>0</v>
      </c>
      <c r="E34" s="445"/>
      <c r="F34" s="452" t="s">
        <v>62</v>
      </c>
      <c r="G34" s="441">
        <v>4790</v>
      </c>
      <c r="H34" s="472">
        <v>3500</v>
      </c>
      <c r="I34" s="446">
        <v>28</v>
      </c>
    </row>
    <row r="35" spans="2:11" ht="15.75">
      <c r="B35" s="58" t="s">
        <v>385</v>
      </c>
      <c r="C35" s="441">
        <v>535470</v>
      </c>
      <c r="D35" s="472">
        <v>247140</v>
      </c>
      <c r="E35" s="485">
        <v>5</v>
      </c>
      <c r="F35" s="452" t="s">
        <v>17</v>
      </c>
      <c r="G35" s="441">
        <v>75594</v>
      </c>
      <c r="H35" s="472">
        <v>112500</v>
      </c>
      <c r="I35" s="487">
        <v>29</v>
      </c>
      <c r="K35" s="455"/>
    </row>
    <row r="36" spans="2:11" ht="15.75">
      <c r="B36" s="58" t="s">
        <v>350</v>
      </c>
      <c r="C36" s="441">
        <v>175000</v>
      </c>
      <c r="D36" s="472">
        <v>250000</v>
      </c>
      <c r="E36" s="486"/>
      <c r="F36" s="452" t="s">
        <v>319</v>
      </c>
      <c r="G36" s="441">
        <v>60000</v>
      </c>
      <c r="H36" s="472">
        <v>100000</v>
      </c>
      <c r="I36" s="488"/>
      <c r="K36" s="455"/>
    </row>
    <row r="37" spans="2:11" ht="30">
      <c r="B37" s="443"/>
      <c r="C37" s="441"/>
      <c r="D37" s="472"/>
      <c r="E37" s="445"/>
      <c r="F37" s="452" t="s">
        <v>78</v>
      </c>
      <c r="G37" s="441">
        <v>25000</v>
      </c>
      <c r="H37" s="472">
        <v>48000</v>
      </c>
      <c r="I37" s="446">
        <v>30</v>
      </c>
      <c r="K37" s="455"/>
    </row>
    <row r="38" spans="2:11" ht="15.75">
      <c r="B38" s="443"/>
      <c r="C38" s="441"/>
      <c r="D38" s="472"/>
      <c r="E38" s="445"/>
      <c r="F38" s="452" t="s">
        <v>34</v>
      </c>
      <c r="G38" s="441">
        <v>31360</v>
      </c>
      <c r="H38" s="472">
        <v>20000</v>
      </c>
      <c r="I38" s="446">
        <v>31</v>
      </c>
      <c r="K38" s="455"/>
    </row>
    <row r="39" spans="2:11" ht="15.75">
      <c r="B39" s="443"/>
      <c r="C39" s="441"/>
      <c r="D39" s="472"/>
      <c r="E39" s="445"/>
      <c r="F39" s="452" t="s">
        <v>18</v>
      </c>
      <c r="G39" s="441">
        <v>16216</v>
      </c>
      <c r="H39" s="472">
        <v>15000</v>
      </c>
      <c r="I39" s="446">
        <v>32</v>
      </c>
      <c r="K39" s="455"/>
    </row>
    <row r="40" spans="2:11" ht="15" customHeight="1">
      <c r="B40" s="443"/>
      <c r="C40" s="441"/>
      <c r="D40" s="472"/>
      <c r="E40" s="445"/>
      <c r="F40" s="452" t="s">
        <v>32</v>
      </c>
      <c r="G40" s="441">
        <v>667330</v>
      </c>
      <c r="H40" s="472">
        <v>199000</v>
      </c>
      <c r="I40" s="446">
        <v>33</v>
      </c>
      <c r="K40" s="455"/>
    </row>
    <row r="41" spans="2:11" ht="15.75">
      <c r="B41" s="443"/>
      <c r="C41" s="441"/>
      <c r="D41" s="472"/>
      <c r="E41" s="445"/>
      <c r="F41" s="443" t="s">
        <v>19</v>
      </c>
      <c r="G41" s="441">
        <v>6415</v>
      </c>
      <c r="H41" s="472">
        <v>5000</v>
      </c>
      <c r="I41" s="446">
        <v>34</v>
      </c>
      <c r="K41" s="455"/>
    </row>
    <row r="42" spans="2:11" ht="15.75">
      <c r="B42" s="443"/>
      <c r="C42" s="441"/>
      <c r="D42" s="472"/>
      <c r="E42" s="445"/>
      <c r="F42" s="443" t="s">
        <v>60</v>
      </c>
      <c r="G42" s="441">
        <v>30000</v>
      </c>
      <c r="H42" s="472">
        <v>25000</v>
      </c>
      <c r="I42" s="446">
        <v>35</v>
      </c>
      <c r="K42" s="455"/>
    </row>
    <row r="43" spans="2:9" ht="15.75">
      <c r="B43" s="443"/>
      <c r="C43" s="441"/>
      <c r="D43" s="472"/>
      <c r="E43" s="445"/>
      <c r="F43" s="443" t="s">
        <v>380</v>
      </c>
      <c r="G43" s="441">
        <v>160132</v>
      </c>
      <c r="H43" s="472">
        <v>170000</v>
      </c>
      <c r="I43" s="446">
        <v>36</v>
      </c>
    </row>
    <row r="44" spans="2:11" ht="15.75">
      <c r="B44" s="443"/>
      <c r="C44" s="441"/>
      <c r="D44" s="472"/>
      <c r="E44" s="445"/>
      <c r="F44" s="443" t="s">
        <v>826</v>
      </c>
      <c r="G44" s="441">
        <v>310000</v>
      </c>
      <c r="H44" s="472">
        <v>0</v>
      </c>
      <c r="I44" s="446">
        <v>37</v>
      </c>
      <c r="K44" s="455"/>
    </row>
    <row r="45" spans="2:11" ht="15.75">
      <c r="B45" s="443"/>
      <c r="C45" s="441"/>
      <c r="D45" s="472"/>
      <c r="E45" s="445"/>
      <c r="F45" s="443" t="s">
        <v>277</v>
      </c>
      <c r="G45" s="441">
        <v>54800</v>
      </c>
      <c r="H45" s="472">
        <v>5000</v>
      </c>
      <c r="I45" s="446">
        <v>38</v>
      </c>
      <c r="K45" s="455"/>
    </row>
    <row r="46" spans="2:11" ht="15.75">
      <c r="B46" s="443"/>
      <c r="C46" s="441"/>
      <c r="D46" s="472"/>
      <c r="E46" s="445"/>
      <c r="F46" s="443" t="s">
        <v>262</v>
      </c>
      <c r="G46" s="441">
        <v>270009</v>
      </c>
      <c r="H46" s="472">
        <v>180000</v>
      </c>
      <c r="I46" s="446">
        <v>39</v>
      </c>
      <c r="K46" s="455"/>
    </row>
    <row r="47" spans="2:9" ht="15.75">
      <c r="B47" s="443"/>
      <c r="C47" s="441"/>
      <c r="D47" s="472"/>
      <c r="E47" s="445"/>
      <c r="F47" s="443" t="s">
        <v>827</v>
      </c>
      <c r="G47" s="441">
        <v>40000</v>
      </c>
      <c r="H47" s="472">
        <v>10000</v>
      </c>
      <c r="I47" s="446">
        <v>40</v>
      </c>
    </row>
    <row r="48" spans="2:11" ht="15.75">
      <c r="B48" s="443"/>
      <c r="C48" s="441"/>
      <c r="D48" s="472"/>
      <c r="E48" s="445"/>
      <c r="F48" s="443" t="s">
        <v>125</v>
      </c>
      <c r="G48" s="441">
        <v>0</v>
      </c>
      <c r="H48" s="472">
        <v>0</v>
      </c>
      <c r="I48" s="446"/>
      <c r="K48" s="455"/>
    </row>
    <row r="49" spans="2:9" ht="15.75">
      <c r="B49" s="447" t="s">
        <v>63</v>
      </c>
      <c r="C49" s="448">
        <f>SUM(C17:C48)</f>
        <v>26462831</v>
      </c>
      <c r="D49" s="448">
        <f>SUM(D17:D48)</f>
        <v>19898606</v>
      </c>
      <c r="E49" s="445"/>
      <c r="F49" s="438" t="s">
        <v>64</v>
      </c>
      <c r="G49" s="465">
        <f>SUM(G17:G48)</f>
        <v>38569030</v>
      </c>
      <c r="H49" s="465">
        <f>SUM(H17:H48)</f>
        <v>35583481</v>
      </c>
      <c r="I49" s="446"/>
    </row>
    <row r="50" spans="2:11" ht="15.75">
      <c r="B50" s="449" t="s">
        <v>20</v>
      </c>
      <c r="C50" s="441"/>
      <c r="D50" s="472"/>
      <c r="E50" s="445"/>
      <c r="F50" s="449" t="s">
        <v>65</v>
      </c>
      <c r="G50" s="441"/>
      <c r="H50" s="472"/>
      <c r="I50" s="446"/>
      <c r="K50" s="455"/>
    </row>
    <row r="51" spans="2:11" ht="15.75">
      <c r="B51" s="443" t="s">
        <v>21</v>
      </c>
      <c r="C51" s="441">
        <v>215000</v>
      </c>
      <c r="D51" s="472">
        <v>300000</v>
      </c>
      <c r="E51" s="445">
        <v>6</v>
      </c>
      <c r="F51" s="443" t="s">
        <v>22</v>
      </c>
      <c r="G51" s="441">
        <v>388000</v>
      </c>
      <c r="H51" s="472">
        <v>300000</v>
      </c>
      <c r="I51" s="446"/>
      <c r="K51" s="455"/>
    </row>
    <row r="52" spans="2:11" ht="15.75">
      <c r="B52" s="443"/>
      <c r="C52" s="441"/>
      <c r="D52" s="472"/>
      <c r="E52" s="466"/>
      <c r="F52" s="443" t="s">
        <v>136</v>
      </c>
      <c r="G52" s="441">
        <v>308240</v>
      </c>
      <c r="H52" s="472">
        <v>0</v>
      </c>
      <c r="I52" s="446"/>
      <c r="K52" s="455"/>
    </row>
    <row r="53" spans="2:9" ht="15.75">
      <c r="B53" s="449" t="s">
        <v>66</v>
      </c>
      <c r="C53" s="448">
        <f>SUM(C51:C52)</f>
        <v>215000</v>
      </c>
      <c r="D53" s="448">
        <f>SUM(D51:D52)</f>
        <v>300000</v>
      </c>
      <c r="E53" s="445"/>
      <c r="F53" s="449" t="s">
        <v>67</v>
      </c>
      <c r="G53" s="448">
        <f>SUM(G51:G52)</f>
        <v>696240</v>
      </c>
      <c r="H53" s="448">
        <f>SUM(H51:H52)</f>
        <v>300000</v>
      </c>
      <c r="I53" s="446"/>
    </row>
    <row r="54" spans="2:9" ht="15.75">
      <c r="B54" s="451" t="s">
        <v>68</v>
      </c>
      <c r="C54" s="448">
        <f>C49+C53</f>
        <v>26677831</v>
      </c>
      <c r="D54" s="448">
        <f>D49+D53</f>
        <v>20198606</v>
      </c>
      <c r="E54" s="439"/>
      <c r="F54" s="449" t="s">
        <v>69</v>
      </c>
      <c r="G54" s="448">
        <f>G49+G53</f>
        <v>39265270</v>
      </c>
      <c r="H54" s="448">
        <f>H49+H53</f>
        <v>35883481</v>
      </c>
      <c r="I54" s="442"/>
    </row>
    <row r="55" spans="2:9" ht="25.5">
      <c r="B55" s="449" t="s">
        <v>37</v>
      </c>
      <c r="C55" s="441"/>
      <c r="D55" s="472"/>
      <c r="E55" s="445"/>
      <c r="F55" s="449" t="s">
        <v>28</v>
      </c>
      <c r="G55" s="441"/>
      <c r="H55" s="472"/>
      <c r="I55" s="446"/>
    </row>
    <row r="56" spans="2:9" ht="15.75">
      <c r="B56" s="452" t="s">
        <v>38</v>
      </c>
      <c r="C56" s="441">
        <v>13927</v>
      </c>
      <c r="D56" s="472">
        <v>0</v>
      </c>
      <c r="E56" s="468">
        <v>7</v>
      </c>
      <c r="F56" s="469" t="s">
        <v>232</v>
      </c>
      <c r="G56" s="441">
        <v>50125.22</v>
      </c>
      <c r="H56" s="441">
        <v>50125.22</v>
      </c>
      <c r="I56" s="445"/>
    </row>
    <row r="57" spans="2:9" ht="15.75">
      <c r="B57" s="443" t="s">
        <v>257</v>
      </c>
      <c r="C57" s="441">
        <v>308240</v>
      </c>
      <c r="D57" s="472">
        <v>0</v>
      </c>
      <c r="E57" s="468">
        <v>8</v>
      </c>
      <c r="F57" s="469" t="s">
        <v>274</v>
      </c>
      <c r="G57" s="441">
        <v>9565.8</v>
      </c>
      <c r="H57" s="441">
        <v>9565.8</v>
      </c>
      <c r="I57" s="445"/>
    </row>
    <row r="58" spans="2:9" ht="15.75">
      <c r="B58" s="443" t="s">
        <v>70</v>
      </c>
      <c r="C58" s="441">
        <v>49000</v>
      </c>
      <c r="D58" s="472">
        <v>60000</v>
      </c>
      <c r="E58" s="468">
        <v>9</v>
      </c>
      <c r="F58" s="471" t="s">
        <v>275</v>
      </c>
      <c r="G58" s="441">
        <v>19610.96</v>
      </c>
      <c r="H58" s="441">
        <v>19610.96</v>
      </c>
      <c r="I58" s="445"/>
    </row>
    <row r="59" spans="2:9" ht="15.75">
      <c r="B59" s="443" t="s">
        <v>77</v>
      </c>
      <c r="C59" s="441">
        <v>14000</v>
      </c>
      <c r="D59" s="472">
        <v>7630</v>
      </c>
      <c r="E59" s="468"/>
      <c r="F59" s="469" t="s">
        <v>230</v>
      </c>
      <c r="G59" s="441">
        <v>257348.91</v>
      </c>
      <c r="H59" s="441">
        <v>257348.91</v>
      </c>
      <c r="I59" s="439"/>
    </row>
    <row r="60" spans="2:9" ht="30">
      <c r="B60" s="443" t="s">
        <v>258</v>
      </c>
      <c r="C60" s="441">
        <v>25000</v>
      </c>
      <c r="D60" s="472">
        <v>25000</v>
      </c>
      <c r="E60" s="468">
        <v>10</v>
      </c>
      <c r="F60" s="469" t="s">
        <v>231</v>
      </c>
      <c r="G60" s="441">
        <v>1397.42</v>
      </c>
      <c r="H60" s="441">
        <v>1397.42</v>
      </c>
      <c r="I60" s="439"/>
    </row>
    <row r="61" spans="2:9" ht="15.75">
      <c r="B61" s="443" t="s">
        <v>344</v>
      </c>
      <c r="C61" s="441">
        <v>272544</v>
      </c>
      <c r="D61" s="472">
        <v>260000</v>
      </c>
      <c r="E61" s="468">
        <v>11</v>
      </c>
      <c r="F61" s="469" t="s">
        <v>31</v>
      </c>
      <c r="G61" s="441">
        <v>26793.87</v>
      </c>
      <c r="H61" s="441">
        <v>26793.87</v>
      </c>
      <c r="I61" s="449"/>
    </row>
    <row r="62" spans="2:9" ht="30">
      <c r="B62" s="443" t="s">
        <v>345</v>
      </c>
      <c r="C62" s="441">
        <v>200000</v>
      </c>
      <c r="D62" s="472">
        <v>314000</v>
      </c>
      <c r="E62" s="468">
        <v>12</v>
      </c>
      <c r="F62" s="469" t="s">
        <v>59</v>
      </c>
      <c r="G62" s="441">
        <v>110002.42</v>
      </c>
      <c r="H62" s="441">
        <v>110002.42</v>
      </c>
      <c r="I62" s="449"/>
    </row>
    <row r="63" spans="2:9" ht="30">
      <c r="B63" s="443" t="s">
        <v>346</v>
      </c>
      <c r="C63" s="441">
        <v>250000</v>
      </c>
      <c r="D63" s="472">
        <v>250000</v>
      </c>
      <c r="E63" s="468">
        <v>13</v>
      </c>
      <c r="F63" s="469" t="s">
        <v>828</v>
      </c>
      <c r="G63" s="441">
        <v>21.4</v>
      </c>
      <c r="H63" s="441">
        <v>21.4</v>
      </c>
      <c r="I63" s="449"/>
    </row>
    <row r="64" spans="2:9" ht="15.75">
      <c r="B64" s="3" t="s">
        <v>387</v>
      </c>
      <c r="C64" s="441">
        <v>113000</v>
      </c>
      <c r="D64" s="472">
        <v>120000</v>
      </c>
      <c r="E64" s="56">
        <v>14</v>
      </c>
      <c r="F64" s="469" t="s">
        <v>829</v>
      </c>
      <c r="G64" s="441">
        <v>315.65</v>
      </c>
      <c r="H64" s="441">
        <v>315.65</v>
      </c>
      <c r="I64" s="449"/>
    </row>
    <row r="65" spans="2:9" ht="15.75">
      <c r="B65" s="443" t="s">
        <v>830</v>
      </c>
      <c r="C65" s="441">
        <v>1030956</v>
      </c>
      <c r="D65" s="472">
        <v>275000</v>
      </c>
      <c r="E65" s="474">
        <v>15</v>
      </c>
      <c r="F65" s="469" t="s">
        <v>831</v>
      </c>
      <c r="G65" s="441">
        <v>5876.4400000000005</v>
      </c>
      <c r="H65" s="441">
        <v>5876.4400000000005</v>
      </c>
      <c r="I65" s="449"/>
    </row>
    <row r="66" spans="2:9" ht="30">
      <c r="B66" s="54" t="s">
        <v>131</v>
      </c>
      <c r="C66" s="329"/>
      <c r="D66" s="472"/>
      <c r="E66" s="475"/>
      <c r="F66" s="469" t="s">
        <v>233</v>
      </c>
      <c r="G66" s="441">
        <v>514.67</v>
      </c>
      <c r="H66" s="441">
        <v>514.67</v>
      </c>
      <c r="I66" s="449"/>
    </row>
    <row r="67" spans="2:9" ht="15.75">
      <c r="B67" s="58"/>
      <c r="C67" s="466"/>
      <c r="D67" s="472"/>
      <c r="E67" s="475"/>
      <c r="F67" s="469" t="s">
        <v>234</v>
      </c>
      <c r="G67" s="441">
        <v>908.4300000000001</v>
      </c>
      <c r="H67" s="441">
        <v>908.4300000000001</v>
      </c>
      <c r="I67" s="449"/>
    </row>
    <row r="68" spans="2:9" ht="15.75">
      <c r="B68" s="58"/>
      <c r="C68" s="466"/>
      <c r="D68" s="472"/>
      <c r="E68" s="475"/>
      <c r="F68" s="469" t="s">
        <v>235</v>
      </c>
      <c r="G68" s="441">
        <v>1969.87</v>
      </c>
      <c r="H68" s="441">
        <v>1969.87</v>
      </c>
      <c r="I68" s="449"/>
    </row>
    <row r="69" spans="2:9" ht="15.75">
      <c r="B69" s="58"/>
      <c r="C69" s="466"/>
      <c r="D69" s="472"/>
      <c r="E69" s="475"/>
      <c r="F69" s="469" t="s">
        <v>236</v>
      </c>
      <c r="G69" s="441">
        <v>732.95</v>
      </c>
      <c r="H69" s="441">
        <v>732.95</v>
      </c>
      <c r="I69" s="449"/>
    </row>
    <row r="70" spans="2:9" ht="15.75">
      <c r="B70" s="58"/>
      <c r="C70" s="466"/>
      <c r="D70" s="472"/>
      <c r="E70" s="475"/>
      <c r="F70" s="469" t="s">
        <v>237</v>
      </c>
      <c r="G70" s="441">
        <v>138887.07</v>
      </c>
      <c r="H70" s="441">
        <v>138887.07</v>
      </c>
      <c r="I70" s="449"/>
    </row>
    <row r="71" spans="2:9" ht="15.75">
      <c r="B71" s="58"/>
      <c r="C71" s="329"/>
      <c r="D71" s="472"/>
      <c r="E71" s="476"/>
      <c r="F71" s="469" t="s">
        <v>238</v>
      </c>
      <c r="G71" s="441">
        <v>353.1</v>
      </c>
      <c r="H71" s="441">
        <v>353.1</v>
      </c>
      <c r="I71" s="449"/>
    </row>
    <row r="72" spans="2:9" ht="15.75">
      <c r="B72" s="58"/>
      <c r="C72" s="329"/>
      <c r="D72" s="472"/>
      <c r="E72" s="476"/>
      <c r="F72" s="469" t="s">
        <v>239</v>
      </c>
      <c r="G72" s="441">
        <v>72595.22</v>
      </c>
      <c r="H72" s="441">
        <v>72595.22</v>
      </c>
      <c r="I72" s="449"/>
    </row>
    <row r="73" spans="2:9" ht="15.75">
      <c r="B73" s="58"/>
      <c r="C73" s="329"/>
      <c r="D73" s="472"/>
      <c r="E73" s="476"/>
      <c r="F73" s="469" t="s">
        <v>240</v>
      </c>
      <c r="G73" s="441">
        <v>858.14</v>
      </c>
      <c r="H73" s="441">
        <v>858.14</v>
      </c>
      <c r="I73" s="449"/>
    </row>
    <row r="74" spans="2:9" ht="15.75">
      <c r="B74" s="58"/>
      <c r="C74" s="329"/>
      <c r="D74" s="472"/>
      <c r="E74" s="476"/>
      <c r="F74" s="469" t="s">
        <v>49</v>
      </c>
      <c r="G74" s="441">
        <v>8469.05</v>
      </c>
      <c r="H74" s="441">
        <v>8469.05</v>
      </c>
      <c r="I74" s="449"/>
    </row>
    <row r="75" spans="2:9" ht="15.75">
      <c r="B75" s="58"/>
      <c r="C75" s="329"/>
      <c r="D75" s="472"/>
      <c r="E75" s="476"/>
      <c r="F75" s="469" t="s">
        <v>276</v>
      </c>
      <c r="G75" s="441">
        <v>483.64</v>
      </c>
      <c r="H75" s="441">
        <v>483.64</v>
      </c>
      <c r="I75" s="449"/>
    </row>
    <row r="76" spans="2:9" ht="15.75">
      <c r="B76" s="58"/>
      <c r="C76" s="329"/>
      <c r="D76" s="472"/>
      <c r="E76" s="476"/>
      <c r="F76" s="469" t="s">
        <v>226</v>
      </c>
      <c r="G76" s="441">
        <v>8309.62</v>
      </c>
      <c r="H76" s="441">
        <v>8309.62</v>
      </c>
      <c r="I76" s="449"/>
    </row>
    <row r="77" spans="2:9" ht="15.75">
      <c r="B77" s="58"/>
      <c r="C77" s="329"/>
      <c r="D77" s="472"/>
      <c r="E77" s="476"/>
      <c r="F77" s="469" t="s">
        <v>241</v>
      </c>
      <c r="G77" s="441">
        <v>49520.67</v>
      </c>
      <c r="H77" s="441">
        <v>49520.67</v>
      </c>
      <c r="I77" s="449"/>
    </row>
    <row r="78" spans="2:9" ht="15.75">
      <c r="B78" s="58"/>
      <c r="C78" s="329"/>
      <c r="D78" s="472"/>
      <c r="E78" s="476"/>
      <c r="F78" s="469" t="s">
        <v>141</v>
      </c>
      <c r="G78" s="441">
        <v>54.57</v>
      </c>
      <c r="H78" s="441">
        <v>54.57</v>
      </c>
      <c r="I78" s="449"/>
    </row>
    <row r="79" spans="2:9" ht="15.75">
      <c r="B79" s="58"/>
      <c r="C79" s="329"/>
      <c r="D79" s="472"/>
      <c r="E79" s="476"/>
      <c r="F79" s="469" t="s">
        <v>242</v>
      </c>
      <c r="G79" s="441">
        <v>3580.2200000000003</v>
      </c>
      <c r="H79" s="441">
        <v>3580.2200000000003</v>
      </c>
      <c r="I79" s="449"/>
    </row>
    <row r="80" spans="2:9" ht="15.75">
      <c r="B80" s="58"/>
      <c r="C80" s="329"/>
      <c r="D80" s="472"/>
      <c r="E80" s="476"/>
      <c r="F80" s="469" t="s">
        <v>43</v>
      </c>
      <c r="G80" s="441">
        <v>6433.91</v>
      </c>
      <c r="H80" s="441">
        <v>6433.91</v>
      </c>
      <c r="I80" s="449"/>
    </row>
    <row r="81" spans="2:9" ht="15.75">
      <c r="B81" s="58"/>
      <c r="C81" s="329"/>
      <c r="D81" s="472"/>
      <c r="E81" s="476"/>
      <c r="F81" s="469" t="s">
        <v>243</v>
      </c>
      <c r="G81" s="441">
        <v>2199.92</v>
      </c>
      <c r="H81" s="441">
        <v>2199.92</v>
      </c>
      <c r="I81" s="449"/>
    </row>
    <row r="82" spans="2:9" ht="15.75">
      <c r="B82" s="58"/>
      <c r="C82" s="329"/>
      <c r="D82" s="472"/>
      <c r="E82" s="476"/>
      <c r="F82" s="469" t="s">
        <v>228</v>
      </c>
      <c r="G82" s="441">
        <v>18241.36</v>
      </c>
      <c r="H82" s="441">
        <v>18241.36</v>
      </c>
      <c r="I82" s="449"/>
    </row>
    <row r="83" spans="2:9" ht="15.75">
      <c r="B83" s="58"/>
      <c r="C83" s="329"/>
      <c r="D83" s="472"/>
      <c r="E83" s="476"/>
      <c r="F83" s="469" t="s">
        <v>204</v>
      </c>
      <c r="G83" s="441">
        <v>36351.11</v>
      </c>
      <c r="H83" s="441">
        <v>36351.11</v>
      </c>
      <c r="I83" s="449"/>
    </row>
    <row r="84" spans="2:9" ht="15.75">
      <c r="B84" s="58"/>
      <c r="C84" s="329"/>
      <c r="D84" s="472"/>
      <c r="E84" s="476"/>
      <c r="F84" s="469" t="s">
        <v>277</v>
      </c>
      <c r="G84" s="441">
        <v>264.29</v>
      </c>
      <c r="H84" s="441">
        <v>264.29</v>
      </c>
      <c r="I84" s="449"/>
    </row>
    <row r="85" spans="2:9" ht="15.75">
      <c r="B85" s="58"/>
      <c r="C85" s="329"/>
      <c r="D85" s="472"/>
      <c r="E85" s="476"/>
      <c r="F85" s="469" t="s">
        <v>244</v>
      </c>
      <c r="G85" s="441">
        <v>814741.87</v>
      </c>
      <c r="H85" s="441">
        <v>814741.87</v>
      </c>
      <c r="I85" s="449"/>
    </row>
    <row r="86" spans="2:9" ht="15.75">
      <c r="B86" s="58"/>
      <c r="C86" s="329"/>
      <c r="D86" s="472"/>
      <c r="E86" s="476"/>
      <c r="F86" s="469" t="s">
        <v>832</v>
      </c>
      <c r="G86" s="441">
        <v>7540.29</v>
      </c>
      <c r="H86" s="441">
        <v>7540.29</v>
      </c>
      <c r="I86" s="449"/>
    </row>
    <row r="87" spans="2:9" ht="15.75">
      <c r="B87" s="58"/>
      <c r="C87" s="329"/>
      <c r="D87" s="472"/>
      <c r="E87" s="476"/>
      <c r="F87" s="469" t="s">
        <v>229</v>
      </c>
      <c r="G87" s="441">
        <v>1173.79</v>
      </c>
      <c r="H87" s="441">
        <v>1173.79</v>
      </c>
      <c r="I87" s="449"/>
    </row>
    <row r="88" spans="2:9" ht="15.75">
      <c r="B88" s="58"/>
      <c r="C88" s="329"/>
      <c r="D88" s="472"/>
      <c r="E88" s="476"/>
      <c r="F88" s="469" t="s">
        <v>245</v>
      </c>
      <c r="G88" s="441">
        <v>2162.4700000000003</v>
      </c>
      <c r="H88" s="441">
        <v>2162.4700000000003</v>
      </c>
      <c r="I88" s="449"/>
    </row>
    <row r="89" spans="2:9" ht="15.75">
      <c r="B89" s="58"/>
      <c r="C89" s="329"/>
      <c r="D89" s="472"/>
      <c r="E89" s="476"/>
      <c r="F89" s="469" t="s">
        <v>227</v>
      </c>
      <c r="G89" s="441">
        <v>109.14</v>
      </c>
      <c r="H89" s="441">
        <v>109.14</v>
      </c>
      <c r="I89" s="449"/>
    </row>
    <row r="90" spans="2:9" ht="15.75">
      <c r="B90" s="58"/>
      <c r="C90" s="329"/>
      <c r="D90" s="472"/>
      <c r="E90" s="476"/>
      <c r="F90" s="469" t="s">
        <v>246</v>
      </c>
      <c r="G90" s="441">
        <v>41.730000000000004</v>
      </c>
      <c r="H90" s="441">
        <v>41.730000000000004</v>
      </c>
      <c r="I90" s="449"/>
    </row>
    <row r="91" spans="2:9" ht="15.75">
      <c r="B91" s="58"/>
      <c r="C91" s="329"/>
      <c r="D91" s="472"/>
      <c r="E91" s="476"/>
      <c r="F91" s="469" t="s">
        <v>247</v>
      </c>
      <c r="G91" s="441">
        <v>604.55</v>
      </c>
      <c r="H91" s="441">
        <v>604.55</v>
      </c>
      <c r="I91" s="449"/>
    </row>
    <row r="92" spans="2:9" ht="15.75">
      <c r="B92" s="58"/>
      <c r="C92" s="329"/>
      <c r="D92" s="472"/>
      <c r="E92" s="476"/>
      <c r="F92" s="469" t="s">
        <v>248</v>
      </c>
      <c r="G92" s="441">
        <v>31499.73</v>
      </c>
      <c r="H92" s="441">
        <v>31499.73</v>
      </c>
      <c r="I92" s="449"/>
    </row>
    <row r="93" spans="2:9" ht="15.75">
      <c r="B93" s="443"/>
      <c r="C93" s="450"/>
      <c r="D93" s="472"/>
      <c r="E93" s="477"/>
      <c r="F93" s="478" t="s">
        <v>249</v>
      </c>
      <c r="G93" s="441">
        <v>3428603.14</v>
      </c>
      <c r="H93" s="441">
        <v>3428603.14</v>
      </c>
      <c r="I93" s="449"/>
    </row>
    <row r="94" spans="2:9" ht="15.75">
      <c r="B94" s="443"/>
      <c r="C94" s="450"/>
      <c r="D94" s="472"/>
      <c r="E94" s="477"/>
      <c r="F94" s="478" t="s">
        <v>833</v>
      </c>
      <c r="G94" s="441">
        <v>151493.81</v>
      </c>
      <c r="H94" s="441">
        <v>151493.81</v>
      </c>
      <c r="I94" s="449"/>
    </row>
    <row r="95" spans="2:9" ht="15.75">
      <c r="B95" s="443"/>
      <c r="C95" s="450"/>
      <c r="D95" s="472"/>
      <c r="E95" s="477"/>
      <c r="F95" s="478" t="s">
        <v>278</v>
      </c>
      <c r="G95" s="441">
        <v>76809.95</v>
      </c>
      <c r="H95" s="441">
        <v>76809.95</v>
      </c>
      <c r="I95" s="449"/>
    </row>
    <row r="96" spans="2:9" ht="15.75">
      <c r="B96" s="443"/>
      <c r="C96" s="450"/>
      <c r="D96" s="472"/>
      <c r="E96" s="477"/>
      <c r="F96" s="478" t="s">
        <v>834</v>
      </c>
      <c r="G96" s="441">
        <v>1464.83</v>
      </c>
      <c r="H96" s="441">
        <v>1464.83</v>
      </c>
      <c r="I96" s="449"/>
    </row>
    <row r="97" spans="2:9" ht="15.75">
      <c r="B97" s="443"/>
      <c r="C97" s="450"/>
      <c r="D97" s="472"/>
      <c r="E97" s="477"/>
      <c r="F97" s="478" t="s">
        <v>250</v>
      </c>
      <c r="G97" s="441">
        <v>31911.68</v>
      </c>
      <c r="H97" s="441">
        <v>31911.68</v>
      </c>
      <c r="I97" s="449"/>
    </row>
    <row r="98" spans="2:9" ht="15.75">
      <c r="B98" s="443"/>
      <c r="C98" s="450"/>
      <c r="D98" s="472"/>
      <c r="E98" s="477"/>
      <c r="F98" s="478" t="s">
        <v>251</v>
      </c>
      <c r="G98" s="441">
        <v>10147.880000000001</v>
      </c>
      <c r="H98" s="441">
        <v>10147.880000000001</v>
      </c>
      <c r="I98" s="449"/>
    </row>
    <row r="99" spans="2:9" ht="15.75">
      <c r="B99" s="443"/>
      <c r="C99" s="450"/>
      <c r="D99" s="472"/>
      <c r="E99" s="477"/>
      <c r="F99" s="478" t="s">
        <v>835</v>
      </c>
      <c r="G99" s="441">
        <v>334094.66000000003</v>
      </c>
      <c r="H99" s="441">
        <v>334094.66000000003</v>
      </c>
      <c r="I99" s="449"/>
    </row>
    <row r="100" spans="2:9" ht="15.75">
      <c r="B100" s="443"/>
      <c r="C100" s="450"/>
      <c r="D100" s="472"/>
      <c r="E100" s="477"/>
      <c r="F100" s="478" t="s">
        <v>836</v>
      </c>
      <c r="G100" s="441">
        <v>166111.08000000002</v>
      </c>
      <c r="H100" s="441">
        <v>166111.08000000002</v>
      </c>
      <c r="I100" s="449"/>
    </row>
    <row r="101" spans="2:9" ht="15.75">
      <c r="B101" s="443"/>
      <c r="C101" s="450"/>
      <c r="D101" s="472"/>
      <c r="E101" s="477"/>
      <c r="F101" s="478" t="s">
        <v>252</v>
      </c>
      <c r="G101" s="441">
        <v>51889.65</v>
      </c>
      <c r="H101" s="441">
        <v>51889.65</v>
      </c>
      <c r="I101" s="449"/>
    </row>
    <row r="102" spans="2:9" ht="15.75">
      <c r="B102" s="58"/>
      <c r="C102" s="329"/>
      <c r="D102" s="472"/>
      <c r="E102" s="476"/>
      <c r="F102" s="478" t="s">
        <v>71</v>
      </c>
      <c r="G102" s="441">
        <v>63692.82</v>
      </c>
      <c r="H102" s="441">
        <v>63692.82</v>
      </c>
      <c r="I102" s="449"/>
    </row>
    <row r="103" spans="2:9" ht="15.75">
      <c r="B103" s="58"/>
      <c r="C103" s="329"/>
      <c r="D103" s="472"/>
      <c r="E103" s="476"/>
      <c r="F103" s="478" t="s">
        <v>837</v>
      </c>
      <c r="G103" s="441">
        <v>16424.5</v>
      </c>
      <c r="H103" s="441">
        <v>16424.5</v>
      </c>
      <c r="I103" s="449"/>
    </row>
    <row r="104" spans="2:9" ht="15.75">
      <c r="B104" s="443"/>
      <c r="C104" s="450"/>
      <c r="D104" s="472"/>
      <c r="E104" s="477"/>
      <c r="F104" s="478" t="s">
        <v>279</v>
      </c>
      <c r="G104" s="441">
        <v>944.8100000000001</v>
      </c>
      <c r="H104" s="441">
        <v>944.8100000000001</v>
      </c>
      <c r="I104" s="449"/>
    </row>
    <row r="105" spans="2:9" ht="15.75">
      <c r="B105" s="443"/>
      <c r="C105" s="450"/>
      <c r="D105" s="472"/>
      <c r="E105" s="477"/>
      <c r="F105" s="478" t="s">
        <v>280</v>
      </c>
      <c r="G105" s="441">
        <v>58515.09</v>
      </c>
      <c r="H105" s="441">
        <v>58515.09</v>
      </c>
      <c r="I105" s="449"/>
    </row>
    <row r="106" spans="2:9" ht="15.75">
      <c r="B106" s="443"/>
      <c r="C106" s="450"/>
      <c r="D106" s="472"/>
      <c r="E106" s="477"/>
      <c r="F106" s="478" t="s">
        <v>253</v>
      </c>
      <c r="G106" s="441">
        <v>87201.79000000001</v>
      </c>
      <c r="H106" s="441">
        <v>87201.79000000001</v>
      </c>
      <c r="I106" s="449"/>
    </row>
    <row r="107" spans="2:9" ht="15.75">
      <c r="B107" s="443"/>
      <c r="C107" s="450"/>
      <c r="D107" s="472"/>
      <c r="E107" s="477"/>
      <c r="F107" s="478" t="s">
        <v>254</v>
      </c>
      <c r="G107" s="441">
        <v>53537.45</v>
      </c>
      <c r="H107" s="441">
        <v>53537.45</v>
      </c>
      <c r="I107" s="449"/>
    </row>
    <row r="108" spans="2:9" ht="15.75">
      <c r="B108" s="443"/>
      <c r="C108" s="450"/>
      <c r="D108" s="472"/>
      <c r="E108" s="477"/>
      <c r="F108" s="478" t="s">
        <v>255</v>
      </c>
      <c r="G108" s="441">
        <v>3734.3</v>
      </c>
      <c r="H108" s="441">
        <v>3734.3</v>
      </c>
      <c r="I108" s="449"/>
    </row>
    <row r="109" spans="2:9" ht="15.75">
      <c r="B109" s="443"/>
      <c r="C109" s="450"/>
      <c r="D109" s="472"/>
      <c r="E109" s="477"/>
      <c r="F109" s="469" t="s">
        <v>281</v>
      </c>
      <c r="G109" s="441">
        <v>1045308</v>
      </c>
      <c r="H109" s="472">
        <v>0</v>
      </c>
      <c r="I109" s="449"/>
    </row>
    <row r="110" spans="2:9" ht="15.75">
      <c r="B110" s="443"/>
      <c r="C110" s="450"/>
      <c r="D110" s="472"/>
      <c r="E110" s="477"/>
      <c r="F110" s="469" t="s">
        <v>282</v>
      </c>
      <c r="G110" s="441">
        <v>14722654</v>
      </c>
      <c r="H110" s="472">
        <v>0</v>
      </c>
      <c r="I110" s="449"/>
    </row>
    <row r="111" spans="2:9" ht="15.75">
      <c r="B111" s="443"/>
      <c r="C111" s="450"/>
      <c r="D111" s="472"/>
      <c r="E111" s="477"/>
      <c r="F111" s="469" t="s">
        <v>283</v>
      </c>
      <c r="G111" s="441">
        <v>4357541</v>
      </c>
      <c r="H111" s="472">
        <v>0</v>
      </c>
      <c r="I111" s="449"/>
    </row>
    <row r="112" spans="2:9" ht="19.5" customHeight="1">
      <c r="B112" s="443"/>
      <c r="C112" s="450"/>
      <c r="D112" s="472"/>
      <c r="E112" s="477"/>
      <c r="F112" s="452" t="s">
        <v>284</v>
      </c>
      <c r="G112" s="441">
        <v>268720</v>
      </c>
      <c r="H112" s="441">
        <v>268720</v>
      </c>
      <c r="I112" s="449"/>
    </row>
    <row r="113" spans="2:9" ht="15.75">
      <c r="B113" s="449" t="s">
        <v>23</v>
      </c>
      <c r="C113" s="448">
        <f>SUM(C56:C112)</f>
        <v>2276667</v>
      </c>
      <c r="D113" s="448">
        <f>SUM(D56:D112)</f>
        <v>1311630</v>
      </c>
      <c r="E113" s="439"/>
      <c r="F113" s="449" t="s">
        <v>24</v>
      </c>
      <c r="G113" s="465">
        <f>SUM(G56:G112)</f>
        <v>26620459.91</v>
      </c>
      <c r="H113" s="465">
        <f>SUM(H56:H112)</f>
        <v>6494956.91</v>
      </c>
      <c r="I113" s="479"/>
    </row>
    <row r="114" spans="2:11" ht="15.75">
      <c r="B114" s="449" t="s">
        <v>73</v>
      </c>
      <c r="C114" s="448">
        <f>C14+C54</f>
        <v>63609062.91</v>
      </c>
      <c r="D114" s="448">
        <f>D14+D54</f>
        <v>41419807.91</v>
      </c>
      <c r="E114" s="439"/>
      <c r="F114" s="449" t="s">
        <v>73</v>
      </c>
      <c r="G114" s="465">
        <f>G14+G54</f>
        <v>39265270</v>
      </c>
      <c r="H114" s="465">
        <f>H14+H54</f>
        <v>36236481</v>
      </c>
      <c r="I114" s="442"/>
      <c r="K114" s="455"/>
    </row>
    <row r="115" spans="2:9" ht="15.75">
      <c r="B115" s="449" t="s">
        <v>74</v>
      </c>
      <c r="C115" s="448">
        <f>C54+C113</f>
        <v>28954498</v>
      </c>
      <c r="D115" s="448">
        <f>D54+D113</f>
        <v>21510236</v>
      </c>
      <c r="E115" s="439"/>
      <c r="F115" s="449" t="s">
        <v>74</v>
      </c>
      <c r="G115" s="465">
        <f>G54+G113</f>
        <v>65885729.91</v>
      </c>
      <c r="H115" s="465">
        <f>H54+H113</f>
        <v>42378437.91</v>
      </c>
      <c r="I115" s="442"/>
    </row>
    <row r="116" spans="2:9" ht="15.75">
      <c r="B116" s="449" t="s">
        <v>75</v>
      </c>
      <c r="C116" s="448">
        <f>C14+C54+C113</f>
        <v>65885729.91</v>
      </c>
      <c r="D116" s="448">
        <f>D14+D54+D113</f>
        <v>42731437.91</v>
      </c>
      <c r="E116" s="439"/>
      <c r="F116" s="449" t="s">
        <v>75</v>
      </c>
      <c r="G116" s="465">
        <f>G14+G54+G113</f>
        <v>65885729.91</v>
      </c>
      <c r="H116" s="465">
        <f>H14+H54+H113</f>
        <v>42731437.91</v>
      </c>
      <c r="I116" s="442"/>
    </row>
    <row r="117" spans="2:9" ht="31.5" customHeight="1">
      <c r="B117" s="443"/>
      <c r="C117" s="448"/>
      <c r="D117" s="448"/>
      <c r="E117" s="445"/>
      <c r="F117" s="438" t="s">
        <v>25</v>
      </c>
      <c r="G117" s="480"/>
      <c r="H117" s="441"/>
      <c r="I117" s="446"/>
    </row>
    <row r="118" spans="2:9" ht="16.5" customHeight="1">
      <c r="B118" s="70" t="s">
        <v>26</v>
      </c>
      <c r="C118" s="481">
        <f>C116</f>
        <v>65885729.91</v>
      </c>
      <c r="D118" s="481">
        <f>D116</f>
        <v>42731437.91</v>
      </c>
      <c r="E118" s="58"/>
      <c r="F118" s="70" t="s">
        <v>26</v>
      </c>
      <c r="G118" s="448">
        <f>G116</f>
        <v>65885729.91</v>
      </c>
      <c r="H118" s="448">
        <f>H116</f>
        <v>42731437.91</v>
      </c>
      <c r="I118" s="464"/>
    </row>
    <row r="121" spans="3:8" ht="15">
      <c r="C121" s="263">
        <f>G116-C116</f>
        <v>0</v>
      </c>
      <c r="D121" s="263">
        <f>H116-D116</f>
        <v>0</v>
      </c>
      <c r="G121" s="455"/>
      <c r="H121" s="455"/>
    </row>
    <row r="123" spans="3:4" ht="15">
      <c r="C123" s="263"/>
      <c r="D123" s="263"/>
    </row>
    <row r="124" spans="3:5" ht="15">
      <c r="C124" s="263"/>
      <c r="D124" s="263"/>
      <c r="E124" s="263"/>
    </row>
  </sheetData>
  <sheetProtection/>
  <mergeCells count="10">
    <mergeCell ref="I30:I31"/>
    <mergeCell ref="E35:E36"/>
    <mergeCell ref="I35:I36"/>
    <mergeCell ref="B2:I2"/>
    <mergeCell ref="B3:I3"/>
    <mergeCell ref="B4:I4"/>
    <mergeCell ref="B6:E6"/>
    <mergeCell ref="F6:I6"/>
    <mergeCell ref="E21:E26"/>
    <mergeCell ref="I21:I22"/>
  </mergeCells>
  <printOptions/>
  <pageMargins left="0" right="0" top="0.511811023622047" bottom="0.196850393700787" header="0.15748031496063" footer="0.196850393700787"/>
  <pageSetup fitToHeight="2" horizontalDpi="600" verticalDpi="600" orientation="landscape" paperSize="9" scale="80" r:id="rId1"/>
  <rowBreaks count="4" manualBreakCount="4">
    <brk id="32" max="12" man="1"/>
    <brk id="64" max="12" man="1"/>
    <brk id="97" max="255" man="1"/>
    <brk id="118" max="255" man="1"/>
  </rowBreaks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F15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6.28125" style="1" customWidth="1"/>
    <col min="2" max="2" width="9.57421875" style="1" customWidth="1"/>
    <col min="3" max="3" width="31.00390625" style="1" customWidth="1"/>
    <col min="4" max="4" width="15.57421875" style="1" customWidth="1"/>
    <col min="5" max="5" width="15.421875" style="1" customWidth="1"/>
    <col min="6" max="6" width="13.8515625" style="23" customWidth="1"/>
    <col min="7" max="16384" width="9.140625" style="1" customWidth="1"/>
  </cols>
  <sheetData>
    <row r="1" spans="4:6" ht="15">
      <c r="D1" s="88"/>
      <c r="E1" s="88"/>
      <c r="F1" s="228"/>
    </row>
    <row r="2" spans="2:6" ht="15">
      <c r="B2" s="565"/>
      <c r="C2" s="565"/>
      <c r="D2" s="88"/>
      <c r="E2" s="88"/>
      <c r="F2" s="228"/>
    </row>
    <row r="3" spans="2:6" ht="15.75">
      <c r="B3" s="568" t="s">
        <v>340</v>
      </c>
      <c r="C3" s="568"/>
      <c r="D3" s="568"/>
      <c r="E3" s="568"/>
      <c r="F3" s="568"/>
    </row>
    <row r="4" spans="2:6" ht="15">
      <c r="B4" s="89"/>
      <c r="C4" s="89"/>
      <c r="D4" s="88"/>
      <c r="E4" s="88"/>
      <c r="F4" s="228"/>
    </row>
    <row r="5" spans="2:6" ht="15.75">
      <c r="B5" s="567" t="s">
        <v>332</v>
      </c>
      <c r="C5" s="567"/>
      <c r="D5" s="567"/>
      <c r="E5" s="567"/>
      <c r="F5" s="567"/>
    </row>
    <row r="6" spans="2:6" ht="15">
      <c r="B6" s="566"/>
      <c r="C6" s="566"/>
      <c r="D6" s="88"/>
      <c r="E6" s="88"/>
      <c r="F6" s="228"/>
    </row>
    <row r="7" spans="2:6" ht="15">
      <c r="B7" s="180" t="s">
        <v>466</v>
      </c>
      <c r="C7" s="117"/>
      <c r="D7" s="88"/>
      <c r="E7" s="88"/>
      <c r="F7" s="228"/>
    </row>
    <row r="8" spans="2:6" ht="15">
      <c r="B8" s="117"/>
      <c r="C8" s="117"/>
      <c r="D8" s="88"/>
      <c r="E8" s="88"/>
      <c r="F8" s="228"/>
    </row>
    <row r="9" spans="2:6" s="179" customFormat="1" ht="45">
      <c r="B9" s="178" t="s">
        <v>126</v>
      </c>
      <c r="C9" s="178" t="s">
        <v>263</v>
      </c>
      <c r="D9" s="178" t="s">
        <v>333</v>
      </c>
      <c r="E9" s="73" t="s">
        <v>335</v>
      </c>
      <c r="F9" s="229" t="s">
        <v>334</v>
      </c>
    </row>
    <row r="10" spans="2:6" s="62" customFormat="1" ht="19.5" customHeight="1">
      <c r="B10" s="309">
        <v>1</v>
      </c>
      <c r="C10" s="310" t="s">
        <v>467</v>
      </c>
      <c r="D10" s="311">
        <v>61500</v>
      </c>
      <c r="E10" s="312">
        <v>61500</v>
      </c>
      <c r="F10" s="312">
        <f>D10-E10</f>
        <v>0</v>
      </c>
    </row>
    <row r="11" spans="2:6" s="62" customFormat="1" ht="19.5" customHeight="1">
      <c r="B11" s="309">
        <v>2</v>
      </c>
      <c r="C11" s="310" t="s">
        <v>468</v>
      </c>
      <c r="D11" s="311">
        <v>36383</v>
      </c>
      <c r="E11" s="312">
        <v>36383</v>
      </c>
      <c r="F11" s="312">
        <f>D11-E11</f>
        <v>0</v>
      </c>
    </row>
    <row r="12" spans="2:6" s="62" customFormat="1" ht="19.5" customHeight="1">
      <c r="B12" s="309">
        <v>3</v>
      </c>
      <c r="C12" s="310" t="s">
        <v>469</v>
      </c>
      <c r="D12" s="311">
        <v>94491</v>
      </c>
      <c r="E12" s="312">
        <v>94491</v>
      </c>
      <c r="F12" s="312">
        <f>D12-E12</f>
        <v>0</v>
      </c>
    </row>
    <row r="13" spans="2:6" s="62" customFormat="1" ht="19.5" customHeight="1">
      <c r="B13" s="309">
        <v>4</v>
      </c>
      <c r="C13" s="310" t="s">
        <v>470</v>
      </c>
      <c r="D13" s="311">
        <v>71418</v>
      </c>
      <c r="E13" s="312">
        <v>71418</v>
      </c>
      <c r="F13" s="312">
        <f>D13-E13</f>
        <v>0</v>
      </c>
    </row>
    <row r="14" spans="2:6" s="62" customFormat="1" ht="19.5" customHeight="1">
      <c r="B14" s="309">
        <v>5</v>
      </c>
      <c r="C14" s="310" t="s">
        <v>471</v>
      </c>
      <c r="D14" s="311">
        <v>44448</v>
      </c>
      <c r="E14" s="312">
        <v>44448</v>
      </c>
      <c r="F14" s="312">
        <f>D14-E14</f>
        <v>0</v>
      </c>
    </row>
    <row r="15" spans="2:6" s="4" customFormat="1" ht="19.5" customHeight="1">
      <c r="B15" s="3"/>
      <c r="C15" s="236" t="s">
        <v>122</v>
      </c>
      <c r="D15" s="299">
        <f>SUM(D10:D14)</f>
        <v>308240</v>
      </c>
      <c r="E15" s="299">
        <f>SUM(E10:E14)</f>
        <v>308240</v>
      </c>
      <c r="F15" s="299">
        <f>SUM(F10:F14)</f>
        <v>0</v>
      </c>
    </row>
    <row r="16" ht="15.75" customHeight="1"/>
  </sheetData>
  <sheetProtection/>
  <mergeCells count="4">
    <mergeCell ref="B2:C2"/>
    <mergeCell ref="B6:C6"/>
    <mergeCell ref="B5:F5"/>
    <mergeCell ref="B3:F3"/>
  </mergeCells>
  <printOptions/>
  <pageMargins left="0.7" right="0.7" top="0.75" bottom="0.75" header="0.3" footer="0.3"/>
  <pageSetup horizontalDpi="600" verticalDpi="600" orientation="portrait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31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4.8515625" style="9" customWidth="1"/>
    <col min="2" max="2" width="11.421875" style="9" customWidth="1"/>
    <col min="3" max="3" width="17.28125" style="9" customWidth="1"/>
    <col min="4" max="4" width="8.421875" style="9" customWidth="1"/>
    <col min="5" max="5" width="13.140625" style="9" customWidth="1"/>
    <col min="6" max="6" width="12.140625" style="9" customWidth="1"/>
    <col min="7" max="7" width="18.8515625" style="9" customWidth="1"/>
    <col min="8" max="16384" width="9.140625" style="9" customWidth="1"/>
  </cols>
  <sheetData>
    <row r="1" spans="2:13" ht="15">
      <c r="B1" s="25"/>
      <c r="C1" s="25"/>
      <c r="D1" s="25"/>
      <c r="E1" s="25"/>
      <c r="F1" s="25"/>
      <c r="G1" s="25"/>
      <c r="H1" s="118"/>
      <c r="I1" s="118"/>
      <c r="J1" s="118"/>
      <c r="K1" s="118"/>
      <c r="L1" s="118"/>
      <c r="M1" s="118"/>
    </row>
    <row r="2" spans="2:13" ht="15.75">
      <c r="B2" s="561" t="s">
        <v>301</v>
      </c>
      <c r="C2" s="561"/>
      <c r="D2" s="561"/>
      <c r="E2" s="561"/>
      <c r="F2" s="561"/>
      <c r="G2" s="561"/>
      <c r="H2" s="118"/>
      <c r="I2" s="118"/>
      <c r="J2" s="118"/>
      <c r="K2" s="118"/>
      <c r="L2" s="118"/>
      <c r="M2" s="118"/>
    </row>
    <row r="3" spans="2:13" ht="15.75">
      <c r="B3" s="14"/>
      <c r="C3" s="14"/>
      <c r="D3" s="14"/>
      <c r="E3" s="14"/>
      <c r="F3" s="14"/>
      <c r="G3" s="14"/>
      <c r="H3" s="118"/>
      <c r="I3" s="118"/>
      <c r="J3" s="118"/>
      <c r="K3" s="118"/>
      <c r="L3" s="118"/>
      <c r="M3" s="118"/>
    </row>
    <row r="4" spans="2:13" ht="15.75">
      <c r="B4" s="571" t="s">
        <v>112</v>
      </c>
      <c r="C4" s="571"/>
      <c r="D4" s="571"/>
      <c r="E4" s="571"/>
      <c r="F4" s="571"/>
      <c r="G4" s="571"/>
      <c r="H4" s="118"/>
      <c r="I4" s="118"/>
      <c r="J4" s="118"/>
      <c r="K4" s="118"/>
      <c r="L4" s="118"/>
      <c r="M4" s="42"/>
    </row>
    <row r="5" spans="2:13" ht="15">
      <c r="B5" s="48"/>
      <c r="C5" s="48"/>
      <c r="D5" s="48"/>
      <c r="E5" s="48"/>
      <c r="F5" s="48"/>
      <c r="G5" s="48"/>
      <c r="H5" s="118"/>
      <c r="I5" s="118"/>
      <c r="J5" s="118"/>
      <c r="K5" s="118"/>
      <c r="L5" s="118"/>
      <c r="M5" s="42"/>
    </row>
    <row r="6" spans="2:13" ht="15">
      <c r="B6" s="176" t="s">
        <v>472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42"/>
    </row>
    <row r="7" ht="15">
      <c r="G7" s="9" t="s">
        <v>79</v>
      </c>
    </row>
    <row r="8" spans="2:7" s="43" customFormat="1" ht="14.25" customHeight="1">
      <c r="B8" s="572" t="s">
        <v>139</v>
      </c>
      <c r="C8" s="572" t="s">
        <v>113</v>
      </c>
      <c r="D8" s="572" t="s">
        <v>114</v>
      </c>
      <c r="E8" s="572" t="s">
        <v>473</v>
      </c>
      <c r="F8" s="572" t="s">
        <v>115</v>
      </c>
      <c r="G8" s="572" t="s">
        <v>474</v>
      </c>
    </row>
    <row r="9" spans="2:7" s="43" customFormat="1" ht="42" customHeight="1">
      <c r="B9" s="573"/>
      <c r="C9" s="573"/>
      <c r="D9" s="573"/>
      <c r="E9" s="573"/>
      <c r="F9" s="573"/>
      <c r="G9" s="573"/>
    </row>
    <row r="10" spans="2:7" ht="19.5" customHeight="1">
      <c r="B10" s="8">
        <v>1</v>
      </c>
      <c r="C10" s="11" t="s">
        <v>116</v>
      </c>
      <c r="D10" s="8" t="s">
        <v>117</v>
      </c>
      <c r="E10" s="8">
        <v>49</v>
      </c>
      <c r="F10" s="44">
        <v>1000</v>
      </c>
      <c r="G10" s="174">
        <f>E10*F10</f>
        <v>49000</v>
      </c>
    </row>
    <row r="11" spans="2:7" ht="19.5" customHeight="1" thickBot="1">
      <c r="B11" s="45"/>
      <c r="C11" s="46"/>
      <c r="D11" s="45"/>
      <c r="E11" s="45"/>
      <c r="F11" s="47"/>
      <c r="G11" s="175"/>
    </row>
    <row r="12" ht="15.75" thickTop="1"/>
    <row r="14" spans="2:6" ht="18">
      <c r="B14" s="177" t="s">
        <v>306</v>
      </c>
      <c r="C14" s="92"/>
      <c r="D14" s="92"/>
      <c r="E14" s="92"/>
      <c r="F14" s="93"/>
    </row>
    <row r="15" spans="2:6" ht="15.75" thickBot="1">
      <c r="B15" s="26"/>
      <c r="C15" s="26"/>
      <c r="D15" s="26"/>
      <c r="E15" s="26"/>
      <c r="F15" s="26"/>
    </row>
    <row r="16" spans="2:6" ht="15.75" thickBot="1">
      <c r="B16" s="94"/>
      <c r="C16" s="95"/>
      <c r="D16" s="96" t="s">
        <v>307</v>
      </c>
      <c r="E16" s="96" t="s">
        <v>308</v>
      </c>
      <c r="F16" s="97" t="s">
        <v>133</v>
      </c>
    </row>
    <row r="17" spans="2:6" ht="30">
      <c r="B17" s="98" t="s">
        <v>475</v>
      </c>
      <c r="C17" s="99" t="s">
        <v>476</v>
      </c>
      <c r="D17" s="100">
        <v>200</v>
      </c>
      <c r="E17" s="100">
        <v>62.72</v>
      </c>
      <c r="F17" s="100">
        <f>D17*E17</f>
        <v>12544</v>
      </c>
    </row>
    <row r="18" spans="2:6" ht="15">
      <c r="B18" s="26"/>
      <c r="C18" s="26"/>
      <c r="D18" s="26"/>
      <c r="E18" s="26"/>
      <c r="F18" s="26"/>
    </row>
    <row r="19" spans="2:6" ht="15">
      <c r="B19" s="101" t="s">
        <v>309</v>
      </c>
      <c r="C19" s="101" t="s">
        <v>140</v>
      </c>
      <c r="D19" s="101"/>
      <c r="E19" s="102" t="s">
        <v>307</v>
      </c>
      <c r="F19" s="26"/>
    </row>
    <row r="20" spans="2:6" ht="15">
      <c r="B20" s="103" t="s">
        <v>304</v>
      </c>
      <c r="C20" s="104" t="s">
        <v>310</v>
      </c>
      <c r="D20" s="105"/>
      <c r="E20" s="106">
        <v>0</v>
      </c>
      <c r="F20" s="26"/>
    </row>
    <row r="21" spans="2:6" ht="15">
      <c r="B21" s="103"/>
      <c r="C21" s="105"/>
      <c r="D21" s="105"/>
      <c r="E21" s="106"/>
      <c r="F21" s="26"/>
    </row>
    <row r="22" spans="2:6" ht="15">
      <c r="B22" s="103" t="s">
        <v>305</v>
      </c>
      <c r="C22" s="105" t="s">
        <v>477</v>
      </c>
      <c r="D22" s="105"/>
      <c r="E22" s="106">
        <v>200</v>
      </c>
      <c r="F22" s="26"/>
    </row>
    <row r="23" spans="2:6" ht="15">
      <c r="B23" s="103"/>
      <c r="C23" s="107"/>
      <c r="D23" s="107"/>
      <c r="E23" s="106"/>
      <c r="F23" s="26"/>
    </row>
    <row r="24" spans="2:6" ht="15">
      <c r="B24" s="103" t="s">
        <v>311</v>
      </c>
      <c r="C24" s="104" t="s">
        <v>312</v>
      </c>
      <c r="D24" s="105"/>
      <c r="E24" s="108">
        <f>SUM(E20:E23)</f>
        <v>200</v>
      </c>
      <c r="F24" s="26"/>
    </row>
    <row r="25" spans="2:6" ht="15">
      <c r="B25" s="103"/>
      <c r="C25" s="105"/>
      <c r="D25" s="105"/>
      <c r="E25" s="106"/>
      <c r="F25" s="26"/>
    </row>
    <row r="26" spans="2:6" ht="15">
      <c r="B26" s="103" t="s">
        <v>313</v>
      </c>
      <c r="C26" s="105" t="s">
        <v>478</v>
      </c>
      <c r="D26" s="105"/>
      <c r="E26" s="106"/>
      <c r="F26" s="26"/>
    </row>
    <row r="27" spans="2:6" ht="15">
      <c r="B27" s="103"/>
      <c r="C27" s="105" t="s">
        <v>479</v>
      </c>
      <c r="D27" s="107"/>
      <c r="E27" s="106">
        <v>49</v>
      </c>
      <c r="F27" s="26"/>
    </row>
    <row r="28" spans="2:6" ht="15">
      <c r="B28" s="103"/>
      <c r="C28" s="105"/>
      <c r="D28" s="107"/>
      <c r="E28" s="106"/>
      <c r="F28" s="26"/>
    </row>
    <row r="29" spans="2:6" ht="15">
      <c r="B29" s="103" t="s">
        <v>314</v>
      </c>
      <c r="C29" s="104" t="s">
        <v>315</v>
      </c>
      <c r="D29" s="105"/>
      <c r="E29" s="108">
        <f>SUM(E27:E27)</f>
        <v>49</v>
      </c>
      <c r="F29" s="26"/>
    </row>
    <row r="30" spans="2:6" ht="15.75" thickBot="1">
      <c r="B30" s="109"/>
      <c r="C30" s="110"/>
      <c r="D30" s="110"/>
      <c r="E30" s="111"/>
      <c r="F30" s="26"/>
    </row>
    <row r="31" spans="2:6" ht="31.5" customHeight="1" thickBot="1">
      <c r="B31" s="112" t="s">
        <v>316</v>
      </c>
      <c r="C31" s="569" t="s">
        <v>317</v>
      </c>
      <c r="D31" s="570"/>
      <c r="E31" s="113">
        <f>+E24-E29</f>
        <v>151</v>
      </c>
      <c r="F31" s="26"/>
    </row>
  </sheetData>
  <sheetProtection/>
  <mergeCells count="9">
    <mergeCell ref="C31:D31"/>
    <mergeCell ref="B2:G2"/>
    <mergeCell ref="B4:G4"/>
    <mergeCell ref="B8:B9"/>
    <mergeCell ref="C8:C9"/>
    <mergeCell ref="D8:D9"/>
    <mergeCell ref="E8:E9"/>
    <mergeCell ref="F8:F9"/>
    <mergeCell ref="G8:G9"/>
  </mergeCells>
  <printOptions/>
  <pageMargins left="0.7" right="0.7" top="0.75" bottom="0.75" header="0.3" footer="0.3"/>
  <pageSetup horizontalDpi="600" verticalDpi="600" orientation="portrait" scale="96" r:id="rId1"/>
  <rowBreaks count="1" manualBreakCount="1">
    <brk id="3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7.140625" style="1" customWidth="1"/>
    <col min="2" max="2" width="9.7109375" style="1" customWidth="1"/>
    <col min="3" max="3" width="39.28125" style="1" bestFit="1" customWidth="1"/>
    <col min="4" max="4" width="17.421875" style="1" customWidth="1"/>
    <col min="5" max="5" width="17.8515625" style="1" customWidth="1"/>
    <col min="6" max="16384" width="9.140625" style="1" customWidth="1"/>
  </cols>
  <sheetData>
    <row r="1" ht="15">
      <c r="C1" s="25"/>
    </row>
    <row r="2" ht="15">
      <c r="C2" s="25"/>
    </row>
    <row r="3" spans="2:5" ht="15" customHeight="1">
      <c r="B3" s="561" t="s">
        <v>207</v>
      </c>
      <c r="C3" s="561"/>
      <c r="D3" s="561"/>
      <c r="E3" s="561"/>
    </row>
    <row r="4" ht="16.5">
      <c r="C4" s="14"/>
    </row>
    <row r="5" spans="2:5" ht="15" customHeight="1">
      <c r="B5" s="563" t="s">
        <v>337</v>
      </c>
      <c r="C5" s="563"/>
      <c r="D5" s="563"/>
      <c r="E5" s="563"/>
    </row>
    <row r="6" ht="15">
      <c r="C6" s="50"/>
    </row>
    <row r="7" spans="2:5" ht="15.75">
      <c r="B7" s="574" t="s">
        <v>338</v>
      </c>
      <c r="C7" s="574"/>
      <c r="D7" s="574"/>
      <c r="E7" s="574"/>
    </row>
    <row r="8" spans="2:3" ht="15">
      <c r="B8" s="51"/>
      <c r="C8" s="24"/>
    </row>
    <row r="9" spans="2:5" s="7" customFormat="1" ht="76.5">
      <c r="B9" s="181" t="s">
        <v>126</v>
      </c>
      <c r="C9" s="181" t="s">
        <v>138</v>
      </c>
      <c r="D9" s="115" t="s">
        <v>480</v>
      </c>
      <c r="E9" s="115" t="s">
        <v>481</v>
      </c>
    </row>
    <row r="10" spans="2:5" s="4" customFormat="1" ht="19.5" customHeight="1">
      <c r="B10" s="185">
        <v>1</v>
      </c>
      <c r="C10" s="186" t="s">
        <v>339</v>
      </c>
      <c r="D10" s="313">
        <v>25500</v>
      </c>
      <c r="E10" s="314">
        <v>25000</v>
      </c>
    </row>
    <row r="11" spans="2:5" s="4" customFormat="1" ht="19.5" customHeight="1">
      <c r="B11" s="184"/>
      <c r="C11" s="184" t="s">
        <v>27</v>
      </c>
      <c r="D11" s="315">
        <f>SUM(D10:D10)</f>
        <v>25500</v>
      </c>
      <c r="E11" s="315">
        <f>SUM(E10:E10)</f>
        <v>25000</v>
      </c>
    </row>
  </sheetData>
  <sheetProtection/>
  <mergeCells count="3">
    <mergeCell ref="B7:E7"/>
    <mergeCell ref="B5:E5"/>
    <mergeCell ref="B3:E3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E12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7.140625" style="1" customWidth="1"/>
    <col min="2" max="2" width="9.7109375" style="1" customWidth="1"/>
    <col min="3" max="3" width="39.28125" style="1" bestFit="1" customWidth="1"/>
    <col min="4" max="4" width="17.140625" style="1" customWidth="1"/>
    <col min="5" max="5" width="17.8515625" style="1" customWidth="1"/>
    <col min="6" max="16384" width="9.140625" style="1" customWidth="1"/>
  </cols>
  <sheetData>
    <row r="1" ht="15">
      <c r="C1" s="25"/>
    </row>
    <row r="2" ht="15">
      <c r="C2" s="25"/>
    </row>
    <row r="3" spans="2:5" ht="15" customHeight="1">
      <c r="B3" s="561" t="s">
        <v>347</v>
      </c>
      <c r="C3" s="561"/>
      <c r="D3" s="561"/>
      <c r="E3" s="561"/>
    </row>
    <row r="4" ht="16.5">
      <c r="C4" s="14"/>
    </row>
    <row r="5" spans="2:5" ht="15" customHeight="1">
      <c r="B5" s="563" t="s">
        <v>341</v>
      </c>
      <c r="C5" s="563"/>
      <c r="D5" s="563"/>
      <c r="E5" s="563"/>
    </row>
    <row r="6" ht="15">
      <c r="C6" s="50"/>
    </row>
    <row r="7" spans="2:5" ht="15.75">
      <c r="B7" s="574" t="s">
        <v>342</v>
      </c>
      <c r="C7" s="574"/>
      <c r="D7" s="574"/>
      <c r="E7" s="574"/>
    </row>
    <row r="8" spans="2:3" ht="15">
      <c r="B8" s="51"/>
      <c r="C8" s="24"/>
    </row>
    <row r="9" spans="2:5" s="7" customFormat="1" ht="51">
      <c r="B9" s="181" t="s">
        <v>126</v>
      </c>
      <c r="C9" s="181" t="s">
        <v>138</v>
      </c>
      <c r="D9" s="115" t="s">
        <v>484</v>
      </c>
      <c r="E9" s="115" t="s">
        <v>485</v>
      </c>
    </row>
    <row r="10" spans="2:5" s="4" customFormat="1" ht="19.5" customHeight="1">
      <c r="B10" s="185">
        <v>1</v>
      </c>
      <c r="C10" s="186" t="s">
        <v>482</v>
      </c>
      <c r="D10" s="313">
        <v>142544</v>
      </c>
      <c r="E10" s="314">
        <v>130000</v>
      </c>
    </row>
    <row r="11" spans="2:5" s="4" customFormat="1" ht="19.5" customHeight="1">
      <c r="B11" s="185">
        <v>2</v>
      </c>
      <c r="C11" s="186" t="s">
        <v>483</v>
      </c>
      <c r="D11" s="313">
        <v>137091</v>
      </c>
      <c r="E11" s="314">
        <v>130000</v>
      </c>
    </row>
    <row r="12" spans="2:5" s="4" customFormat="1" ht="19.5" customHeight="1">
      <c r="B12" s="184"/>
      <c r="C12" s="184" t="s">
        <v>27</v>
      </c>
      <c r="D12" s="315">
        <f>SUM(D10:D11)</f>
        <v>279635</v>
      </c>
      <c r="E12" s="315">
        <f>SUM(E10:E11)</f>
        <v>260000</v>
      </c>
    </row>
  </sheetData>
  <sheetProtection/>
  <mergeCells count="3">
    <mergeCell ref="B3:E3"/>
    <mergeCell ref="B5:E5"/>
    <mergeCell ref="B7:E7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E15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7.140625" style="1" customWidth="1"/>
    <col min="2" max="2" width="9.7109375" style="1" customWidth="1"/>
    <col min="3" max="3" width="36.7109375" style="1" customWidth="1"/>
    <col min="4" max="4" width="18.00390625" style="1" customWidth="1"/>
    <col min="5" max="5" width="18.57421875" style="1" customWidth="1"/>
    <col min="6" max="16384" width="9.140625" style="1" customWidth="1"/>
  </cols>
  <sheetData>
    <row r="1" ht="15">
      <c r="C1" s="25"/>
    </row>
    <row r="2" ht="15">
      <c r="C2" s="25"/>
    </row>
    <row r="3" spans="2:5" ht="15" customHeight="1">
      <c r="B3" s="561" t="s">
        <v>298</v>
      </c>
      <c r="C3" s="561"/>
      <c r="D3" s="561"/>
      <c r="E3" s="561"/>
    </row>
    <row r="4" ht="16.5">
      <c r="C4" s="14"/>
    </row>
    <row r="5" spans="2:5" ht="15" customHeight="1">
      <c r="B5" s="563" t="s">
        <v>343</v>
      </c>
      <c r="C5" s="563"/>
      <c r="D5" s="563"/>
      <c r="E5" s="563"/>
    </row>
    <row r="6" ht="15">
      <c r="C6" s="50"/>
    </row>
    <row r="7" spans="2:5" ht="15.75">
      <c r="B7" s="574" t="s">
        <v>342</v>
      </c>
      <c r="C7" s="574"/>
      <c r="D7" s="574"/>
      <c r="E7" s="574"/>
    </row>
    <row r="8" spans="2:3" ht="15">
      <c r="B8" s="51"/>
      <c r="C8" s="24"/>
    </row>
    <row r="9" spans="2:5" s="7" customFormat="1" ht="51">
      <c r="B9" s="181" t="s">
        <v>126</v>
      </c>
      <c r="C9" s="181" t="s">
        <v>138</v>
      </c>
      <c r="D9" s="115" t="s">
        <v>484</v>
      </c>
      <c r="E9" s="115" t="s">
        <v>485</v>
      </c>
    </row>
    <row r="10" spans="2:5" s="4" customFormat="1" ht="30" customHeight="1">
      <c r="B10" s="185">
        <v>1</v>
      </c>
      <c r="C10" s="186" t="s">
        <v>486</v>
      </c>
      <c r="D10" s="182">
        <v>0</v>
      </c>
      <c r="E10" s="3">
        <f>200000+114000</f>
        <v>314000</v>
      </c>
    </row>
    <row r="11" spans="2:5" s="4" customFormat="1" ht="19.5" customHeight="1">
      <c r="B11" s="184"/>
      <c r="C11" s="184" t="s">
        <v>27</v>
      </c>
      <c r="D11" s="183">
        <f>SUM(D10:D10)</f>
        <v>0</v>
      </c>
      <c r="E11" s="183">
        <f>SUM(E10:E10)</f>
        <v>314000</v>
      </c>
    </row>
    <row r="14" ht="15">
      <c r="B14" s="1" t="s">
        <v>503</v>
      </c>
    </row>
    <row r="15" ht="15">
      <c r="B15" s="1" t="s">
        <v>502</v>
      </c>
    </row>
  </sheetData>
  <sheetProtection/>
  <mergeCells count="3">
    <mergeCell ref="B3:E3"/>
    <mergeCell ref="B5:E5"/>
    <mergeCell ref="B7:E7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7.140625" style="1" customWidth="1"/>
    <col min="2" max="2" width="9.7109375" style="1" customWidth="1"/>
    <col min="3" max="3" width="36.7109375" style="1" customWidth="1"/>
    <col min="4" max="4" width="18.00390625" style="1" customWidth="1"/>
    <col min="5" max="5" width="18.57421875" style="1" customWidth="1"/>
    <col min="6" max="16384" width="9.140625" style="1" customWidth="1"/>
  </cols>
  <sheetData>
    <row r="1" ht="15">
      <c r="C1" s="25"/>
    </row>
    <row r="2" ht="15">
      <c r="C2" s="25"/>
    </row>
    <row r="3" spans="2:5" ht="15" customHeight="1">
      <c r="B3" s="561" t="s">
        <v>357</v>
      </c>
      <c r="C3" s="561"/>
      <c r="D3" s="561"/>
      <c r="E3" s="561"/>
    </row>
    <row r="4" ht="16.5">
      <c r="C4" s="14"/>
    </row>
    <row r="5" spans="2:5" ht="15" customHeight="1">
      <c r="B5" s="563" t="s">
        <v>348</v>
      </c>
      <c r="C5" s="563"/>
      <c r="D5" s="563"/>
      <c r="E5" s="563"/>
    </row>
    <row r="6" ht="15">
      <c r="C6" s="50"/>
    </row>
    <row r="7" spans="2:5" ht="15.75">
      <c r="B7" s="574" t="s">
        <v>342</v>
      </c>
      <c r="C7" s="574"/>
      <c r="D7" s="574"/>
      <c r="E7" s="574"/>
    </row>
    <row r="8" spans="2:3" ht="15">
      <c r="B8" s="51"/>
      <c r="C8" s="24"/>
    </row>
    <row r="9" spans="2:5" s="7" customFormat="1" ht="51">
      <c r="B9" s="181" t="s">
        <v>126</v>
      </c>
      <c r="C9" s="181" t="s">
        <v>138</v>
      </c>
      <c r="D9" s="115" t="s">
        <v>484</v>
      </c>
      <c r="E9" s="115" t="s">
        <v>485</v>
      </c>
    </row>
    <row r="10" spans="2:5" s="4" customFormat="1" ht="31.5" customHeight="1">
      <c r="B10" s="2">
        <v>1</v>
      </c>
      <c r="C10" s="199" t="s">
        <v>487</v>
      </c>
      <c r="D10" s="3">
        <v>0</v>
      </c>
      <c r="E10" s="314">
        <v>250000</v>
      </c>
    </row>
    <row r="11" spans="2:5" s="4" customFormat="1" ht="19.5" customHeight="1">
      <c r="B11" s="41"/>
      <c r="C11" s="41" t="s">
        <v>26</v>
      </c>
      <c r="D11" s="183">
        <f>SUM(D10:D10)</f>
        <v>0</v>
      </c>
      <c r="E11" s="315">
        <f>SUM(E10:E10)</f>
        <v>250000</v>
      </c>
    </row>
  </sheetData>
  <sheetProtection/>
  <mergeCells count="3">
    <mergeCell ref="B3:E3"/>
    <mergeCell ref="B5:E5"/>
    <mergeCell ref="B7:E7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4">
      <selection activeCell="C13" sqref="C13"/>
    </sheetView>
  </sheetViews>
  <sheetFormatPr defaultColWidth="9.140625" defaultRowHeight="12.75"/>
  <cols>
    <col min="1" max="2" width="7.140625" style="1" customWidth="1"/>
    <col min="3" max="3" width="22.421875" style="1" customWidth="1"/>
    <col min="4" max="4" width="10.421875" style="1" customWidth="1"/>
    <col min="5" max="5" width="11.57421875" style="1" customWidth="1"/>
    <col min="6" max="6" width="15.28125" style="1" customWidth="1"/>
    <col min="7" max="7" width="16.00390625" style="1" customWidth="1"/>
    <col min="8" max="16384" width="9.140625" style="1" customWidth="1"/>
  </cols>
  <sheetData>
    <row r="1" spans="3:5" ht="15">
      <c r="C1" s="25"/>
      <c r="D1" s="25"/>
      <c r="E1" s="25"/>
    </row>
    <row r="2" spans="3:5" ht="15">
      <c r="C2" s="25"/>
      <c r="D2" s="25"/>
      <c r="E2" s="25"/>
    </row>
    <row r="3" spans="2:7" ht="15" customHeight="1">
      <c r="B3" s="561" t="s">
        <v>361</v>
      </c>
      <c r="C3" s="561"/>
      <c r="D3" s="561"/>
      <c r="E3" s="561"/>
      <c r="F3" s="561"/>
      <c r="G3" s="561"/>
    </row>
    <row r="4" spans="3:5" ht="16.5">
      <c r="C4" s="14"/>
      <c r="D4" s="14"/>
      <c r="E4" s="14"/>
    </row>
    <row r="5" spans="2:7" ht="15" customHeight="1">
      <c r="B5" s="563" t="s">
        <v>388</v>
      </c>
      <c r="C5" s="563"/>
      <c r="D5" s="563"/>
      <c r="E5" s="563"/>
      <c r="F5" s="563"/>
      <c r="G5" s="563"/>
    </row>
    <row r="6" spans="3:5" ht="15">
      <c r="C6" s="50"/>
      <c r="D6" s="50"/>
      <c r="E6" s="50"/>
    </row>
    <row r="7" spans="2:7" ht="15.75">
      <c r="B7" s="574" t="s">
        <v>389</v>
      </c>
      <c r="C7" s="574"/>
      <c r="D7" s="574"/>
      <c r="E7" s="574"/>
      <c r="F7" s="574"/>
      <c r="G7" s="574"/>
    </row>
    <row r="8" spans="2:5" ht="15">
      <c r="B8" s="51"/>
      <c r="C8" s="24"/>
      <c r="D8" s="24"/>
      <c r="E8" s="24"/>
    </row>
    <row r="9" spans="2:7" s="7" customFormat="1" ht="63.75">
      <c r="B9" s="230" t="s">
        <v>126</v>
      </c>
      <c r="C9" s="181" t="s">
        <v>138</v>
      </c>
      <c r="D9" s="236" t="s">
        <v>491</v>
      </c>
      <c r="E9" s="230" t="s">
        <v>490</v>
      </c>
      <c r="F9" s="316" t="s">
        <v>488</v>
      </c>
      <c r="G9" s="316" t="s">
        <v>489</v>
      </c>
    </row>
    <row r="10" spans="2:7" s="4" customFormat="1" ht="19.5" customHeight="1">
      <c r="B10" s="185">
        <v>1</v>
      </c>
      <c r="C10" s="186" t="s">
        <v>495</v>
      </c>
      <c r="D10" s="327" t="s">
        <v>492</v>
      </c>
      <c r="E10" s="317" t="s">
        <v>493</v>
      </c>
      <c r="F10" s="313">
        <v>86000</v>
      </c>
      <c r="G10" s="300">
        <v>0</v>
      </c>
    </row>
    <row r="11" spans="2:7" s="4" customFormat="1" ht="19.5" customHeight="1">
      <c r="B11" s="185">
        <v>2</v>
      </c>
      <c r="C11" s="186" t="s">
        <v>496</v>
      </c>
      <c r="D11" s="327" t="s">
        <v>494</v>
      </c>
      <c r="E11" s="317" t="s">
        <v>493</v>
      </c>
      <c r="F11" s="313">
        <v>27000</v>
      </c>
      <c r="G11" s="300">
        <v>0</v>
      </c>
    </row>
    <row r="12" spans="2:7" s="4" customFormat="1" ht="19.5" customHeight="1">
      <c r="B12" s="185">
        <v>3</v>
      </c>
      <c r="C12" s="186" t="s">
        <v>497</v>
      </c>
      <c r="D12" s="327" t="s">
        <v>499</v>
      </c>
      <c r="E12" s="317" t="s">
        <v>493</v>
      </c>
      <c r="F12" s="313">
        <v>0</v>
      </c>
      <c r="G12" s="300">
        <f>111*1000</f>
        <v>111000</v>
      </c>
    </row>
    <row r="13" spans="2:7" s="4" customFormat="1" ht="19.5" customHeight="1">
      <c r="B13" s="185">
        <v>4</v>
      </c>
      <c r="C13" s="186" t="s">
        <v>498</v>
      </c>
      <c r="D13" s="327" t="s">
        <v>500</v>
      </c>
      <c r="E13" s="317" t="s">
        <v>493</v>
      </c>
      <c r="F13" s="313">
        <v>0</v>
      </c>
      <c r="G13" s="300">
        <f>9*1000</f>
        <v>9000</v>
      </c>
    </row>
    <row r="14" spans="2:7" s="34" customFormat="1" ht="19.5" customHeight="1">
      <c r="B14" s="41"/>
      <c r="C14" s="41" t="s">
        <v>26</v>
      </c>
      <c r="D14" s="298"/>
      <c r="E14" s="298"/>
      <c r="F14" s="298">
        <f>SUM(F10:F11)</f>
        <v>113000</v>
      </c>
      <c r="G14" s="298">
        <f>SUM(G10:G13)</f>
        <v>120000</v>
      </c>
    </row>
  </sheetData>
  <sheetProtection/>
  <mergeCells count="3">
    <mergeCell ref="B3:G3"/>
    <mergeCell ref="B5:G5"/>
    <mergeCell ref="B7:G7"/>
  </mergeCells>
  <printOptions/>
  <pageMargins left="0.7" right="0.7" top="0.75" bottom="0.75" header="0.3" footer="0.3"/>
  <pageSetup horizontalDpi="600" verticalDpi="600" orientation="portrait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3">
      <selection activeCell="C11" sqref="C11"/>
    </sheetView>
  </sheetViews>
  <sheetFormatPr defaultColWidth="9.140625" defaultRowHeight="12.75"/>
  <cols>
    <col min="1" max="1" width="4.8515625" style="1" customWidth="1"/>
    <col min="2" max="2" width="8.140625" style="1" customWidth="1"/>
    <col min="3" max="3" width="43.8515625" style="1" bestFit="1" customWidth="1"/>
    <col min="4" max="4" width="16.8515625" style="1" customWidth="1"/>
    <col min="5" max="5" width="17.8515625" style="1" customWidth="1"/>
    <col min="6" max="16384" width="9.140625" style="1" customWidth="1"/>
  </cols>
  <sheetData>
    <row r="1" spans="2:5" ht="16.5">
      <c r="B1" s="561" t="s">
        <v>135</v>
      </c>
      <c r="C1" s="561"/>
      <c r="D1" s="561"/>
      <c r="E1" s="561"/>
    </row>
    <row r="2" spans="2:5" ht="16.5">
      <c r="B2" s="53"/>
      <c r="C2" s="53"/>
      <c r="D2" s="53"/>
      <c r="E2" s="53"/>
    </row>
    <row r="3" spans="2:5" ht="16.5">
      <c r="B3" s="560" t="s">
        <v>134</v>
      </c>
      <c r="C3" s="560"/>
      <c r="D3" s="560"/>
      <c r="E3" s="560"/>
    </row>
    <row r="4" spans="2:5" ht="16.5">
      <c r="B4" s="14"/>
      <c r="C4" s="14"/>
      <c r="D4" s="14"/>
      <c r="E4" s="14"/>
    </row>
    <row r="5" spans="2:5" ht="15.75">
      <c r="B5" s="574" t="s">
        <v>349</v>
      </c>
      <c r="C5" s="574"/>
      <c r="D5" s="574"/>
      <c r="E5" s="574"/>
    </row>
    <row r="6" spans="2:5" ht="16.5">
      <c r="B6" s="14"/>
      <c r="C6" s="14"/>
      <c r="D6" s="14"/>
      <c r="E6" s="14"/>
    </row>
    <row r="7" spans="2:5" ht="63.75">
      <c r="B7" s="18" t="s">
        <v>40</v>
      </c>
      <c r="C7" s="18" t="s">
        <v>41</v>
      </c>
      <c r="D7" s="115" t="s">
        <v>504</v>
      </c>
      <c r="E7" s="115" t="s">
        <v>505</v>
      </c>
    </row>
    <row r="8" spans="2:5" s="4" customFormat="1" ht="30">
      <c r="B8" s="27">
        <v>1</v>
      </c>
      <c r="C8" s="59" t="s">
        <v>131</v>
      </c>
      <c r="D8" s="64">
        <v>6100</v>
      </c>
      <c r="E8" s="65">
        <v>5000</v>
      </c>
    </row>
    <row r="9" spans="2:5" s="4" customFormat="1" ht="19.5" customHeight="1">
      <c r="B9" s="27">
        <v>2</v>
      </c>
      <c r="C9" s="31" t="s">
        <v>118</v>
      </c>
      <c r="D9" s="64">
        <v>63752</v>
      </c>
      <c r="E9" s="65">
        <v>70000</v>
      </c>
    </row>
    <row r="10" spans="2:5" s="4" customFormat="1" ht="19.5" customHeight="1">
      <c r="B10" s="27">
        <v>3</v>
      </c>
      <c r="C10" s="31" t="s">
        <v>132</v>
      </c>
      <c r="D10" s="64">
        <f>204300+17600</f>
        <v>221900</v>
      </c>
      <c r="E10" s="65">
        <v>200000</v>
      </c>
    </row>
    <row r="11" spans="2:5" s="4" customFormat="1" ht="19.5" customHeight="1">
      <c r="B11" s="27">
        <v>4</v>
      </c>
      <c r="C11" s="31" t="s">
        <v>119</v>
      </c>
      <c r="D11" s="64">
        <v>784440</v>
      </c>
      <c r="E11" s="65">
        <v>0</v>
      </c>
    </row>
    <row r="12" spans="2:5" ht="19.5" customHeight="1">
      <c r="B12" s="60"/>
      <c r="C12" s="33" t="s">
        <v>26</v>
      </c>
      <c r="D12" s="187">
        <f>SUM(D8:D11)</f>
        <v>1076192</v>
      </c>
      <c r="E12" s="187">
        <f>SUM(E8:E11)</f>
        <v>275000</v>
      </c>
    </row>
    <row r="13" spans="2:5" ht="15.75">
      <c r="B13" s="62"/>
      <c r="C13" s="62"/>
      <c r="D13" s="62"/>
      <c r="E13" s="62"/>
    </row>
  </sheetData>
  <sheetProtection/>
  <mergeCells count="3">
    <mergeCell ref="B1:E1"/>
    <mergeCell ref="B3:E3"/>
    <mergeCell ref="B5:E5"/>
  </mergeCells>
  <printOptions/>
  <pageMargins left="0.7" right="0.7" top="0.75" bottom="0.75" header="0.3" footer="0.3"/>
  <pageSetup horizontalDpi="600" verticalDpi="600" orientation="portrait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9">
      <selection activeCell="I39" sqref="I39"/>
    </sheetView>
  </sheetViews>
  <sheetFormatPr defaultColWidth="7.8515625" defaultRowHeight="12.75"/>
  <cols>
    <col min="1" max="1" width="4.57421875" style="1" customWidth="1"/>
    <col min="2" max="2" width="6.7109375" style="1" customWidth="1"/>
    <col min="3" max="3" width="12.57421875" style="1" customWidth="1"/>
    <col min="4" max="4" width="24.57421875" style="1" customWidth="1"/>
    <col min="5" max="5" width="7.140625" style="1" customWidth="1"/>
    <col min="6" max="6" width="17.421875" style="1" customWidth="1"/>
    <col min="7" max="7" width="19.00390625" style="1" customWidth="1"/>
    <col min="8" max="16384" width="7.8515625" style="1" customWidth="1"/>
  </cols>
  <sheetData>
    <row r="2" spans="2:6" ht="16.5">
      <c r="B2" s="561" t="s">
        <v>363</v>
      </c>
      <c r="C2" s="561"/>
      <c r="D2" s="561"/>
      <c r="E2" s="561"/>
      <c r="F2" s="561"/>
    </row>
    <row r="3" spans="2:5" ht="16.5">
      <c r="B3" s="53"/>
      <c r="C3" s="53"/>
      <c r="D3" s="53"/>
      <c r="E3" s="53"/>
    </row>
    <row r="4" spans="2:6" ht="16.5">
      <c r="B4" s="560" t="s">
        <v>358</v>
      </c>
      <c r="C4" s="560"/>
      <c r="D4" s="560"/>
      <c r="E4" s="560"/>
      <c r="F4" s="560"/>
    </row>
    <row r="5" spans="2:5" ht="16.5">
      <c r="B5" s="14"/>
      <c r="C5" s="14"/>
      <c r="D5" s="14"/>
      <c r="E5" s="14"/>
    </row>
    <row r="6" spans="2:5" ht="16.5">
      <c r="B6" s="14"/>
      <c r="C6" s="14"/>
      <c r="D6" s="14"/>
      <c r="E6" s="14"/>
    </row>
    <row r="7" spans="2:7" s="4" customFormat="1" ht="63.75">
      <c r="B7" s="18" t="s">
        <v>40</v>
      </c>
      <c r="C7" s="578" t="s">
        <v>41</v>
      </c>
      <c r="D7" s="579"/>
      <c r="E7" s="580"/>
      <c r="F7" s="115" t="s">
        <v>506</v>
      </c>
      <c r="G7" s="115" t="s">
        <v>511</v>
      </c>
    </row>
    <row r="8" spans="2:7" s="231" customFormat="1" ht="21.75" customHeight="1">
      <c r="B8" s="27">
        <v>1</v>
      </c>
      <c r="C8" s="581" t="s">
        <v>847</v>
      </c>
      <c r="D8" s="582"/>
      <c r="E8" s="583"/>
      <c r="F8" s="328">
        <v>0</v>
      </c>
      <c r="G8" s="328">
        <v>296000</v>
      </c>
    </row>
    <row r="10" spans="2:6" ht="27" customHeight="1">
      <c r="B10" s="575" t="s">
        <v>507</v>
      </c>
      <c r="C10" s="575"/>
      <c r="D10" s="575"/>
      <c r="E10" s="575"/>
      <c r="F10" s="575"/>
    </row>
    <row r="12" spans="1:8" ht="19.5" customHeight="1">
      <c r="A12" s="4"/>
      <c r="B12" s="41" t="s">
        <v>126</v>
      </c>
      <c r="C12" s="551" t="s">
        <v>138</v>
      </c>
      <c r="D12" s="553"/>
      <c r="E12" s="70" t="s">
        <v>359</v>
      </c>
      <c r="F12" s="70" t="s">
        <v>509</v>
      </c>
      <c r="G12" s="16" t="s">
        <v>501</v>
      </c>
      <c r="H12" s="4"/>
    </row>
    <row r="13" spans="1:8" ht="19.5" customHeight="1">
      <c r="A13" s="4"/>
      <c r="B13" s="2">
        <v>1</v>
      </c>
      <c r="C13" s="584" t="s">
        <v>844</v>
      </c>
      <c r="D13" s="584"/>
      <c r="E13" s="3">
        <v>4</v>
      </c>
      <c r="F13" s="329">
        <v>33000</v>
      </c>
      <c r="G13" s="330">
        <f>F13*E13</f>
        <v>132000</v>
      </c>
      <c r="H13" s="4"/>
    </row>
    <row r="14" spans="1:8" ht="19.5" customHeight="1">
      <c r="A14" s="4"/>
      <c r="B14" s="2">
        <v>2</v>
      </c>
      <c r="C14" s="576" t="s">
        <v>845</v>
      </c>
      <c r="D14" s="577"/>
      <c r="E14" s="3">
        <v>2</v>
      </c>
      <c r="F14" s="329">
        <v>2000</v>
      </c>
      <c r="G14" s="330">
        <f>F14*E14</f>
        <v>4000</v>
      </c>
      <c r="H14" s="4"/>
    </row>
    <row r="15" spans="1:8" ht="19.5" customHeight="1">
      <c r="A15" s="4"/>
      <c r="B15" s="2">
        <v>3</v>
      </c>
      <c r="C15" s="576" t="s">
        <v>846</v>
      </c>
      <c r="D15" s="577"/>
      <c r="E15" s="3">
        <v>1</v>
      </c>
      <c r="F15" s="329">
        <v>10000</v>
      </c>
      <c r="G15" s="330">
        <v>10000</v>
      </c>
      <c r="H15" s="4"/>
    </row>
    <row r="16" spans="1:8" ht="32.25" customHeight="1">
      <c r="A16" s="4"/>
      <c r="B16" s="2">
        <v>4</v>
      </c>
      <c r="C16" s="585" t="s">
        <v>508</v>
      </c>
      <c r="D16" s="585"/>
      <c r="E16" s="199">
        <v>1</v>
      </c>
      <c r="F16" s="331" t="s">
        <v>510</v>
      </c>
      <c r="G16" s="330">
        <v>150000</v>
      </c>
      <c r="H16" s="4"/>
    </row>
    <row r="17" spans="1:8" ht="19.5" customHeight="1">
      <c r="A17" s="4"/>
      <c r="B17" s="3"/>
      <c r="C17" s="551" t="s">
        <v>202</v>
      </c>
      <c r="D17" s="553"/>
      <c r="E17" s="41"/>
      <c r="F17" s="329"/>
      <c r="G17" s="332">
        <f>SUM(G13:G16)</f>
        <v>296000</v>
      </c>
      <c r="H17" s="4"/>
    </row>
  </sheetData>
  <sheetProtection/>
  <mergeCells count="11">
    <mergeCell ref="C16:D16"/>
    <mergeCell ref="C12:D12"/>
    <mergeCell ref="C17:D17"/>
    <mergeCell ref="B2:F2"/>
    <mergeCell ref="B10:F10"/>
    <mergeCell ref="B4:F4"/>
    <mergeCell ref="C14:D14"/>
    <mergeCell ref="C15:D15"/>
    <mergeCell ref="C7:E7"/>
    <mergeCell ref="C8:E8"/>
    <mergeCell ref="C13: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4:G20"/>
  <sheetViews>
    <sheetView zoomScalePageLayoutView="0" workbookViewId="0" topLeftCell="B10">
      <selection activeCell="F18" sqref="F18"/>
    </sheetView>
  </sheetViews>
  <sheetFormatPr defaultColWidth="15.8515625" defaultRowHeight="12.75"/>
  <cols>
    <col min="1" max="1" width="5.421875" style="1" customWidth="1"/>
    <col min="2" max="2" width="7.00390625" style="1" customWidth="1"/>
    <col min="3" max="3" width="15.8515625" style="1" customWidth="1"/>
    <col min="4" max="4" width="19.28125" style="1" customWidth="1"/>
    <col min="5" max="5" width="18.421875" style="1" customWidth="1"/>
    <col min="6" max="6" width="17.7109375" style="1" customWidth="1"/>
    <col min="7" max="16384" width="15.8515625" style="1" customWidth="1"/>
  </cols>
  <sheetData>
    <row r="4" spans="2:5" ht="15.75">
      <c r="B4" s="562" t="s">
        <v>377</v>
      </c>
      <c r="C4" s="562"/>
      <c r="D4" s="562"/>
      <c r="E4" s="562"/>
    </row>
    <row r="5" spans="2:5" ht="15">
      <c r="B5" s="39"/>
      <c r="C5" s="39"/>
      <c r="D5" s="39"/>
      <c r="E5" s="39"/>
    </row>
    <row r="6" spans="2:5" ht="15.75">
      <c r="B6" s="586" t="s">
        <v>360</v>
      </c>
      <c r="C6" s="586"/>
      <c r="D6" s="586"/>
      <c r="E6" s="586"/>
    </row>
    <row r="7" spans="2:5" ht="18.75">
      <c r="B7" s="67"/>
      <c r="C7" s="68"/>
      <c r="D7" s="68"/>
      <c r="E7" s="68"/>
    </row>
    <row r="8" spans="2:5" ht="15">
      <c r="B8" s="188" t="s">
        <v>512</v>
      </c>
      <c r="C8" s="188"/>
      <c r="D8" s="188"/>
      <c r="E8" s="188"/>
    </row>
    <row r="9" spans="2:5" ht="15">
      <c r="B9" s="188"/>
      <c r="C9" s="188"/>
      <c r="D9" s="188"/>
      <c r="E9" s="188"/>
    </row>
    <row r="10" spans="2:6" ht="48">
      <c r="B10" s="335" t="s">
        <v>42</v>
      </c>
      <c r="C10" s="74" t="s">
        <v>137</v>
      </c>
      <c r="D10" s="74" t="s">
        <v>138</v>
      </c>
      <c r="E10" s="336" t="s">
        <v>517</v>
      </c>
      <c r="F10" s="336" t="s">
        <v>518</v>
      </c>
    </row>
    <row r="11" spans="2:6" ht="19.5" customHeight="1">
      <c r="B11" s="73"/>
      <c r="C11" s="189">
        <v>6546762</v>
      </c>
      <c r="D11" s="333" t="s">
        <v>513</v>
      </c>
      <c r="E11" s="334"/>
      <c r="F11" s="334"/>
    </row>
    <row r="12" spans="2:6" ht="19.5" customHeight="1">
      <c r="B12" s="69">
        <v>1</v>
      </c>
      <c r="C12" s="76" t="s">
        <v>510</v>
      </c>
      <c r="D12" s="76" t="s">
        <v>510</v>
      </c>
      <c r="E12" s="337" t="s">
        <v>510</v>
      </c>
      <c r="F12" s="338">
        <v>57000</v>
      </c>
    </row>
    <row r="13" spans="5:6" ht="15">
      <c r="E13" s="263"/>
      <c r="F13" s="263"/>
    </row>
    <row r="14" spans="5:6" ht="15">
      <c r="E14" s="263"/>
      <c r="F14" s="263"/>
    </row>
    <row r="15" spans="2:6" ht="15">
      <c r="B15" s="49" t="s">
        <v>516</v>
      </c>
      <c r="E15" s="263"/>
      <c r="F15" s="263"/>
    </row>
    <row r="16" spans="5:6" ht="15">
      <c r="E16" s="263"/>
      <c r="F16" s="263"/>
    </row>
    <row r="17" spans="1:7" ht="19.5" customHeight="1">
      <c r="A17" s="4"/>
      <c r="B17" s="16" t="s">
        <v>126</v>
      </c>
      <c r="C17" s="549" t="s">
        <v>138</v>
      </c>
      <c r="D17" s="549"/>
      <c r="E17" s="339" t="s">
        <v>203</v>
      </c>
      <c r="F17" s="262"/>
      <c r="G17" s="4"/>
    </row>
    <row r="18" spans="1:7" ht="19.5" customHeight="1">
      <c r="A18" s="4"/>
      <c r="B18" s="2">
        <v>1</v>
      </c>
      <c r="C18" s="587" t="s">
        <v>514</v>
      </c>
      <c r="D18" s="587"/>
      <c r="E18" s="314">
        <v>54000</v>
      </c>
      <c r="F18" s="262"/>
      <c r="G18" s="4"/>
    </row>
    <row r="19" spans="1:7" ht="19.5" customHeight="1">
      <c r="A19" s="4"/>
      <c r="B19" s="2">
        <v>2</v>
      </c>
      <c r="C19" s="588" t="s">
        <v>515</v>
      </c>
      <c r="D19" s="589"/>
      <c r="E19" s="314">
        <v>3000</v>
      </c>
      <c r="F19" s="262"/>
      <c r="G19" s="4"/>
    </row>
    <row r="20" spans="1:7" s="200" customFormat="1" ht="19.5" customHeight="1">
      <c r="A20" s="66"/>
      <c r="B20" s="199"/>
      <c r="C20" s="550" t="s">
        <v>27</v>
      </c>
      <c r="D20" s="550"/>
      <c r="E20" s="340">
        <f>SUM(E18:E19)</f>
        <v>57000</v>
      </c>
      <c r="F20" s="341"/>
      <c r="G20" s="66"/>
    </row>
  </sheetData>
  <sheetProtection/>
  <mergeCells count="6">
    <mergeCell ref="B4:E4"/>
    <mergeCell ref="B6:E6"/>
    <mergeCell ref="C20:D20"/>
    <mergeCell ref="C17:D17"/>
    <mergeCell ref="C18:D18"/>
    <mergeCell ref="C19:D19"/>
  </mergeCells>
  <printOptions/>
  <pageMargins left="0.7" right="0.22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24"/>
  <sheetViews>
    <sheetView zoomScaleSheetLayoutView="100" zoomScalePageLayoutView="0" workbookViewId="0" topLeftCell="C1">
      <selection activeCell="K123" sqref="K123"/>
    </sheetView>
  </sheetViews>
  <sheetFormatPr defaultColWidth="9.140625" defaultRowHeight="12.75"/>
  <cols>
    <col min="1" max="1" width="2.28125" style="1" hidden="1" customWidth="1"/>
    <col min="2" max="2" width="34.00390625" style="1" customWidth="1"/>
    <col min="3" max="3" width="16.140625" style="1" customWidth="1"/>
    <col min="4" max="4" width="16.8515625" style="1" customWidth="1"/>
    <col min="5" max="5" width="16.7109375" style="1" customWidth="1"/>
    <col min="6" max="6" width="5.28125" style="1" customWidth="1"/>
    <col min="7" max="7" width="30.28125" style="1" customWidth="1"/>
    <col min="8" max="8" width="17.00390625" style="1" customWidth="1"/>
    <col min="9" max="9" width="16.8515625" style="1" customWidth="1"/>
    <col min="10" max="10" width="16.57421875" style="1" customWidth="1"/>
    <col min="11" max="11" width="6.8515625" style="1" customWidth="1"/>
    <col min="12" max="12" width="9.140625" style="1" customWidth="1"/>
    <col min="13" max="13" width="11.28125" style="1" bestFit="1" customWidth="1"/>
    <col min="14" max="16384" width="9.140625" style="1" customWidth="1"/>
  </cols>
  <sheetData>
    <row r="2" spans="2:11" ht="16.5">
      <c r="B2" s="489" t="s">
        <v>76</v>
      </c>
      <c r="C2" s="490"/>
      <c r="D2" s="490"/>
      <c r="E2" s="490"/>
      <c r="F2" s="490"/>
      <c r="G2" s="490"/>
      <c r="H2" s="490"/>
      <c r="I2" s="490"/>
      <c r="J2" s="490"/>
      <c r="K2" s="490"/>
    </row>
    <row r="3" spans="2:11" ht="15">
      <c r="B3" s="491" t="s">
        <v>44</v>
      </c>
      <c r="C3" s="491"/>
      <c r="D3" s="491"/>
      <c r="E3" s="491"/>
      <c r="F3" s="491"/>
      <c r="G3" s="491"/>
      <c r="H3" s="491"/>
      <c r="I3" s="491"/>
      <c r="J3" s="491"/>
      <c r="K3" s="491"/>
    </row>
    <row r="4" spans="2:11" ht="18">
      <c r="B4" s="492" t="s">
        <v>839</v>
      </c>
      <c r="C4" s="492"/>
      <c r="D4" s="492"/>
      <c r="E4" s="492"/>
      <c r="F4" s="492"/>
      <c r="G4" s="492"/>
      <c r="H4" s="492"/>
      <c r="I4" s="492"/>
      <c r="J4" s="492"/>
      <c r="K4" s="492"/>
    </row>
    <row r="5" spans="2:11" ht="15.75" thickBot="1">
      <c r="B5" s="431"/>
      <c r="C5" s="431"/>
      <c r="D5" s="431"/>
      <c r="E5" s="431"/>
      <c r="F5" s="431"/>
      <c r="G5" s="431"/>
      <c r="H5" s="431"/>
      <c r="I5" s="431"/>
      <c r="J5" s="431"/>
      <c r="K5" s="431"/>
    </row>
    <row r="6" spans="2:11" ht="15.75" thickBot="1">
      <c r="B6" s="493" t="s">
        <v>0</v>
      </c>
      <c r="C6" s="494"/>
      <c r="D6" s="494"/>
      <c r="E6" s="494"/>
      <c r="F6" s="494"/>
      <c r="G6" s="495" t="s">
        <v>1</v>
      </c>
      <c r="H6" s="496"/>
      <c r="I6" s="497"/>
      <c r="J6" s="497"/>
      <c r="K6" s="498"/>
    </row>
    <row r="7" spans="2:11" ht="15.75" thickBot="1">
      <c r="B7" s="432"/>
      <c r="C7" s="433" t="s">
        <v>2</v>
      </c>
      <c r="D7" s="433" t="s">
        <v>3</v>
      </c>
      <c r="E7" s="433" t="s">
        <v>259</v>
      </c>
      <c r="F7" s="432"/>
      <c r="G7" s="432"/>
      <c r="H7" s="433" t="s">
        <v>2</v>
      </c>
      <c r="I7" s="433" t="s">
        <v>3</v>
      </c>
      <c r="J7" s="433" t="s">
        <v>259</v>
      </c>
      <c r="K7" s="434"/>
    </row>
    <row r="8" spans="2:11" ht="69" customHeight="1" thickBot="1">
      <c r="B8" s="435" t="s">
        <v>4</v>
      </c>
      <c r="C8" s="436" t="s">
        <v>823</v>
      </c>
      <c r="D8" s="436" t="s">
        <v>838</v>
      </c>
      <c r="E8" s="436" t="s">
        <v>843</v>
      </c>
      <c r="F8" s="435" t="s">
        <v>318</v>
      </c>
      <c r="G8" s="435" t="s">
        <v>4</v>
      </c>
      <c r="H8" s="436" t="s">
        <v>841</v>
      </c>
      <c r="I8" s="436" t="s">
        <v>840</v>
      </c>
      <c r="J8" s="436" t="s">
        <v>842</v>
      </c>
      <c r="K8" s="437" t="s">
        <v>318</v>
      </c>
    </row>
    <row r="9" spans="2:11" ht="15">
      <c r="B9" s="438" t="s">
        <v>5</v>
      </c>
      <c r="C9" s="439"/>
      <c r="D9" s="439"/>
      <c r="E9" s="439"/>
      <c r="F9" s="439"/>
      <c r="G9" s="438" t="s">
        <v>6</v>
      </c>
      <c r="H9" s="439"/>
      <c r="I9" s="439"/>
      <c r="J9" s="439"/>
      <c r="K9" s="439"/>
    </row>
    <row r="10" spans="2:11" ht="45">
      <c r="B10" s="438"/>
      <c r="C10" s="439"/>
      <c r="D10" s="439"/>
      <c r="E10" s="439"/>
      <c r="F10" s="439"/>
      <c r="G10" s="440" t="s">
        <v>80</v>
      </c>
      <c r="H10" s="441">
        <v>0</v>
      </c>
      <c r="I10" s="441">
        <v>0</v>
      </c>
      <c r="J10" s="472">
        <v>0</v>
      </c>
      <c r="K10" s="442"/>
    </row>
    <row r="11" spans="2:11" ht="16.5">
      <c r="B11" s="443" t="s">
        <v>7</v>
      </c>
      <c r="C11" s="263">
        <f>37079920.91-148689</f>
        <v>36931231.91</v>
      </c>
      <c r="D11" s="263">
        <v>15110379.909999996</v>
      </c>
      <c r="E11" s="263">
        <v>21221201.91</v>
      </c>
      <c r="F11" s="445"/>
      <c r="G11" s="443" t="s">
        <v>8</v>
      </c>
      <c r="H11" s="441">
        <v>0</v>
      </c>
      <c r="I11" s="441">
        <v>0</v>
      </c>
      <c r="J11" s="444">
        <v>296000</v>
      </c>
      <c r="K11" s="446">
        <v>16</v>
      </c>
    </row>
    <row r="12" spans="2:11" ht="16.5">
      <c r="B12" s="443"/>
      <c r="C12" s="441"/>
      <c r="D12" s="441"/>
      <c r="E12" s="58"/>
      <c r="F12" s="445"/>
      <c r="G12" s="443" t="s">
        <v>9</v>
      </c>
      <c r="H12" s="441">
        <v>0</v>
      </c>
      <c r="I12" s="441">
        <v>0</v>
      </c>
      <c r="J12" s="444">
        <v>57000</v>
      </c>
      <c r="K12" s="446">
        <v>17</v>
      </c>
    </row>
    <row r="13" spans="2:11" ht="16.5">
      <c r="B13" s="443"/>
      <c r="C13" s="441"/>
      <c r="D13" s="441"/>
      <c r="E13" s="58"/>
      <c r="F13" s="445"/>
      <c r="G13" s="443" t="s">
        <v>10</v>
      </c>
      <c r="H13" s="441">
        <v>0</v>
      </c>
      <c r="I13" s="441">
        <v>0</v>
      </c>
      <c r="J13" s="444">
        <v>0</v>
      </c>
      <c r="K13" s="446">
        <v>18</v>
      </c>
    </row>
    <row r="14" spans="2:11" ht="15.75">
      <c r="B14" s="447" t="s">
        <v>11</v>
      </c>
      <c r="C14" s="448">
        <f>C11</f>
        <v>36931231.91</v>
      </c>
      <c r="D14" s="448">
        <f>D11</f>
        <v>15110379.909999996</v>
      </c>
      <c r="E14" s="448">
        <f>E11</f>
        <v>21221201.91</v>
      </c>
      <c r="F14" s="445"/>
      <c r="G14" s="447" t="s">
        <v>12</v>
      </c>
      <c r="H14" s="448">
        <f>SUM(H10:H13)</f>
        <v>0</v>
      </c>
      <c r="I14" s="448">
        <f>SUM(I10:I13)</f>
        <v>0</v>
      </c>
      <c r="J14" s="448">
        <f>SUM(J10:J13)</f>
        <v>353000</v>
      </c>
      <c r="K14" s="446"/>
    </row>
    <row r="15" spans="2:11" ht="16.5">
      <c r="B15" s="449" t="s">
        <v>13</v>
      </c>
      <c r="C15" s="441"/>
      <c r="D15" s="441"/>
      <c r="E15" s="58"/>
      <c r="F15" s="445"/>
      <c r="G15" s="449" t="s">
        <v>14</v>
      </c>
      <c r="H15" s="441"/>
      <c r="I15" s="441"/>
      <c r="J15" s="444"/>
      <c r="K15" s="446"/>
    </row>
    <row r="16" spans="2:11" ht="16.5">
      <c r="B16" s="450" t="s">
        <v>15</v>
      </c>
      <c r="C16" s="441"/>
      <c r="D16" s="441"/>
      <c r="E16" s="58"/>
      <c r="F16" s="445"/>
      <c r="G16" s="451" t="s">
        <v>45</v>
      </c>
      <c r="H16" s="441"/>
      <c r="I16" s="441"/>
      <c r="J16" s="444"/>
      <c r="K16" s="446"/>
    </row>
    <row r="17" spans="2:13" ht="60">
      <c r="B17" s="443" t="s">
        <v>46</v>
      </c>
      <c r="C17" s="441">
        <v>24530730</v>
      </c>
      <c r="D17" s="441">
        <v>24530730</v>
      </c>
      <c r="E17" s="472">
        <v>18540000</v>
      </c>
      <c r="F17" s="445">
        <v>1</v>
      </c>
      <c r="G17" s="452" t="s">
        <v>47</v>
      </c>
      <c r="H17" s="441">
        <v>35722941</v>
      </c>
      <c r="I17" s="453">
        <v>34662563</v>
      </c>
      <c r="J17" s="472">
        <v>33775406</v>
      </c>
      <c r="K17" s="454">
        <v>19</v>
      </c>
      <c r="M17" s="455" t="s">
        <v>79</v>
      </c>
    </row>
    <row r="18" spans="2:13" ht="30">
      <c r="B18" s="449" t="s">
        <v>48</v>
      </c>
      <c r="C18" s="441"/>
      <c r="D18" s="441"/>
      <c r="E18" s="472"/>
      <c r="F18" s="445" t="s">
        <v>79</v>
      </c>
      <c r="G18" s="452" t="s">
        <v>30</v>
      </c>
      <c r="H18" s="441">
        <v>25000</v>
      </c>
      <c r="I18" s="441">
        <v>10000</v>
      </c>
      <c r="J18" s="472">
        <v>55000</v>
      </c>
      <c r="K18" s="446">
        <v>20</v>
      </c>
      <c r="M18" s="455"/>
    </row>
    <row r="19" spans="2:13" ht="15.75">
      <c r="B19" s="443"/>
      <c r="C19" s="441"/>
      <c r="D19" s="441"/>
      <c r="E19" s="472"/>
      <c r="F19" s="445"/>
      <c r="G19" s="452" t="s">
        <v>49</v>
      </c>
      <c r="H19" s="441">
        <v>25996</v>
      </c>
      <c r="I19" s="453">
        <v>18336</v>
      </c>
      <c r="J19" s="472">
        <v>20000</v>
      </c>
      <c r="K19" s="454">
        <v>21</v>
      </c>
      <c r="M19" s="455"/>
    </row>
    <row r="20" spans="2:13" ht="15.75">
      <c r="B20" s="443" t="s">
        <v>260</v>
      </c>
      <c r="C20" s="441">
        <v>0</v>
      </c>
      <c r="D20" s="441">
        <v>0</v>
      </c>
      <c r="E20" s="472">
        <v>0</v>
      </c>
      <c r="F20" s="456"/>
      <c r="G20" s="457" t="s">
        <v>50</v>
      </c>
      <c r="H20" s="441">
        <v>40000</v>
      </c>
      <c r="I20" s="458">
        <v>0</v>
      </c>
      <c r="J20" s="472">
        <v>0</v>
      </c>
      <c r="K20" s="459">
        <v>22</v>
      </c>
      <c r="M20" s="455"/>
    </row>
    <row r="21" spans="2:13" ht="15.75">
      <c r="B21" s="443" t="s">
        <v>261</v>
      </c>
      <c r="C21" s="441">
        <v>2580</v>
      </c>
      <c r="D21" s="441">
        <v>2580</v>
      </c>
      <c r="E21" s="472">
        <v>3600</v>
      </c>
      <c r="F21" s="499">
        <v>2</v>
      </c>
      <c r="G21" s="457" t="s">
        <v>51</v>
      </c>
      <c r="H21" s="441">
        <v>4000</v>
      </c>
      <c r="I21" s="458">
        <v>514</v>
      </c>
      <c r="J21" s="472">
        <v>5000</v>
      </c>
      <c r="K21" s="500">
        <v>23</v>
      </c>
      <c r="M21" s="455"/>
    </row>
    <row r="22" spans="2:13" ht="15.75">
      <c r="B22" s="443" t="s">
        <v>326</v>
      </c>
      <c r="C22" s="441">
        <v>96496</v>
      </c>
      <c r="D22" s="441">
        <v>96496</v>
      </c>
      <c r="E22" s="472">
        <v>60976</v>
      </c>
      <c r="F22" s="499"/>
      <c r="G22" s="457" t="s">
        <v>52</v>
      </c>
      <c r="H22" s="441">
        <v>36000</v>
      </c>
      <c r="I22" s="458">
        <v>29000</v>
      </c>
      <c r="J22" s="472">
        <v>105000</v>
      </c>
      <c r="K22" s="501"/>
      <c r="M22" s="455"/>
    </row>
    <row r="23" spans="2:13" ht="30">
      <c r="B23" s="443" t="s">
        <v>39</v>
      </c>
      <c r="C23" s="441">
        <v>163000</v>
      </c>
      <c r="D23" s="441">
        <v>163000</v>
      </c>
      <c r="E23" s="472">
        <v>103000</v>
      </c>
      <c r="F23" s="499"/>
      <c r="G23" s="457" t="s">
        <v>53</v>
      </c>
      <c r="H23" s="441">
        <v>50000</v>
      </c>
      <c r="I23" s="458">
        <v>4912</v>
      </c>
      <c r="J23" s="472">
        <v>50000</v>
      </c>
      <c r="K23" s="459">
        <v>24</v>
      </c>
      <c r="M23" s="455"/>
    </row>
    <row r="24" spans="2:13" ht="15.75">
      <c r="B24" s="443" t="s">
        <v>824</v>
      </c>
      <c r="C24" s="441">
        <v>64100</v>
      </c>
      <c r="D24" s="441">
        <v>64100</v>
      </c>
      <c r="E24" s="472">
        <v>33500</v>
      </c>
      <c r="F24" s="499"/>
      <c r="G24" s="457" t="s">
        <v>54</v>
      </c>
      <c r="H24" s="441">
        <v>70000</v>
      </c>
      <c r="I24" s="458">
        <v>62673</v>
      </c>
      <c r="J24" s="472">
        <v>125000</v>
      </c>
      <c r="K24" s="459">
        <v>25</v>
      </c>
      <c r="M24" s="455"/>
    </row>
    <row r="25" spans="2:13" ht="30">
      <c r="B25" s="443" t="s">
        <v>825</v>
      </c>
      <c r="C25" s="441">
        <v>107500</v>
      </c>
      <c r="D25" s="441">
        <v>107000</v>
      </c>
      <c r="E25" s="472">
        <v>150000</v>
      </c>
      <c r="F25" s="499"/>
      <c r="G25" s="452" t="s">
        <v>55</v>
      </c>
      <c r="H25" s="441">
        <v>0</v>
      </c>
      <c r="I25" s="453">
        <v>0</v>
      </c>
      <c r="J25" s="472">
        <v>0</v>
      </c>
      <c r="K25" s="454"/>
      <c r="M25" s="455"/>
    </row>
    <row r="26" spans="2:13" ht="15.75">
      <c r="B26" s="443" t="s">
        <v>124</v>
      </c>
      <c r="C26" s="441">
        <v>4075</v>
      </c>
      <c r="D26" s="441">
        <v>4075</v>
      </c>
      <c r="E26" s="472">
        <v>2575</v>
      </c>
      <c r="F26" s="499"/>
      <c r="G26" s="443" t="s">
        <v>81</v>
      </c>
      <c r="H26" s="441">
        <v>699364</v>
      </c>
      <c r="I26" s="441">
        <v>702875</v>
      </c>
      <c r="J26" s="472">
        <v>435353</v>
      </c>
      <c r="K26" s="460">
        <v>4</v>
      </c>
      <c r="M26" s="455"/>
    </row>
    <row r="27" spans="2:13" ht="15.75">
      <c r="B27" s="443" t="s">
        <v>57</v>
      </c>
      <c r="C27" s="441">
        <v>34650</v>
      </c>
      <c r="D27" s="441">
        <v>33650</v>
      </c>
      <c r="E27" s="472">
        <v>39000</v>
      </c>
      <c r="F27" s="461">
        <v>3</v>
      </c>
      <c r="G27" s="443" t="s">
        <v>82</v>
      </c>
      <c r="H27" s="441">
        <v>0</v>
      </c>
      <c r="I27" s="441">
        <v>0</v>
      </c>
      <c r="J27" s="472">
        <v>0</v>
      </c>
      <c r="K27" s="462"/>
      <c r="M27" s="455"/>
    </row>
    <row r="28" spans="2:13" ht="30">
      <c r="B28" s="443" t="s">
        <v>56</v>
      </c>
      <c r="C28" s="441">
        <v>749230</v>
      </c>
      <c r="D28" s="441">
        <v>752915</v>
      </c>
      <c r="E28" s="472">
        <v>468815</v>
      </c>
      <c r="F28" s="445">
        <v>4</v>
      </c>
      <c r="G28" s="443" t="s">
        <v>58</v>
      </c>
      <c r="H28" s="441">
        <v>29530</v>
      </c>
      <c r="I28" s="441">
        <f>21250+7440</f>
        <v>28690</v>
      </c>
      <c r="J28" s="472">
        <f>24600+8640</f>
        <v>33240</v>
      </c>
      <c r="K28" s="482">
        <v>3</v>
      </c>
      <c r="M28" s="455"/>
    </row>
    <row r="29" spans="2:11" ht="15.75">
      <c r="B29" s="443" t="s">
        <v>82</v>
      </c>
      <c r="C29" s="441">
        <v>0</v>
      </c>
      <c r="D29" s="441">
        <v>0</v>
      </c>
      <c r="E29" s="472">
        <v>0</v>
      </c>
      <c r="F29" s="463"/>
      <c r="G29" s="443" t="s">
        <v>33</v>
      </c>
      <c r="H29" s="441">
        <v>0</v>
      </c>
      <c r="I29" s="441">
        <v>0</v>
      </c>
      <c r="J29" s="472">
        <v>0</v>
      </c>
      <c r="K29" s="446"/>
    </row>
    <row r="30" spans="2:13" ht="15.75">
      <c r="B30" s="443" t="s">
        <v>273</v>
      </c>
      <c r="C30" s="441">
        <v>0</v>
      </c>
      <c r="D30" s="441">
        <v>0</v>
      </c>
      <c r="E30" s="472">
        <v>0</v>
      </c>
      <c r="F30" s="445" t="s">
        <v>79</v>
      </c>
      <c r="G30" s="443" t="s">
        <v>123</v>
      </c>
      <c r="H30" s="441">
        <v>3423</v>
      </c>
      <c r="I30" s="441">
        <v>2575</v>
      </c>
      <c r="J30" s="472">
        <v>2163</v>
      </c>
      <c r="K30" s="483">
        <v>2</v>
      </c>
      <c r="M30" s="455"/>
    </row>
    <row r="31" spans="2:11" ht="15.75">
      <c r="B31" s="443" t="s">
        <v>33</v>
      </c>
      <c r="C31" s="441">
        <v>0</v>
      </c>
      <c r="D31" s="441">
        <v>0</v>
      </c>
      <c r="E31" s="472">
        <v>0</v>
      </c>
      <c r="F31" s="445"/>
      <c r="G31" s="443" t="s">
        <v>326</v>
      </c>
      <c r="H31" s="441">
        <v>29274</v>
      </c>
      <c r="I31" s="441">
        <v>29274</v>
      </c>
      <c r="J31" s="472">
        <v>19319</v>
      </c>
      <c r="K31" s="484"/>
    </row>
    <row r="32" spans="2:13" ht="15.75">
      <c r="B32" s="443" t="s">
        <v>36</v>
      </c>
      <c r="C32" s="441">
        <v>0</v>
      </c>
      <c r="D32" s="441">
        <v>0</v>
      </c>
      <c r="E32" s="472">
        <v>0</v>
      </c>
      <c r="F32" s="445"/>
      <c r="G32" s="452" t="s">
        <v>61</v>
      </c>
      <c r="H32" s="441">
        <v>29983</v>
      </c>
      <c r="I32" s="441">
        <v>20284</v>
      </c>
      <c r="J32" s="472">
        <v>25000</v>
      </c>
      <c r="K32" s="446">
        <v>26</v>
      </c>
      <c r="M32" s="455"/>
    </row>
    <row r="33" spans="2:11" ht="15.75">
      <c r="B33" s="443" t="s">
        <v>29</v>
      </c>
      <c r="C33" s="441">
        <v>0</v>
      </c>
      <c r="D33" s="441">
        <v>0</v>
      </c>
      <c r="E33" s="472">
        <v>0</v>
      </c>
      <c r="F33" s="445"/>
      <c r="G33" s="452" t="s">
        <v>16</v>
      </c>
      <c r="H33" s="441">
        <v>51873</v>
      </c>
      <c r="I33" s="441">
        <v>29499</v>
      </c>
      <c r="J33" s="472">
        <v>40000</v>
      </c>
      <c r="K33" s="446">
        <v>27</v>
      </c>
    </row>
    <row r="34" spans="2:11" ht="30">
      <c r="B34" s="443" t="s">
        <v>35</v>
      </c>
      <c r="C34" s="441">
        <v>0</v>
      </c>
      <c r="D34" s="441">
        <v>0</v>
      </c>
      <c r="E34" s="472">
        <v>0</v>
      </c>
      <c r="F34" s="445"/>
      <c r="G34" s="452" t="s">
        <v>62</v>
      </c>
      <c r="H34" s="441">
        <v>4790</v>
      </c>
      <c r="I34" s="441">
        <v>2795</v>
      </c>
      <c r="J34" s="472">
        <v>3500</v>
      </c>
      <c r="K34" s="446">
        <v>28</v>
      </c>
    </row>
    <row r="35" spans="2:13" ht="16.5">
      <c r="B35" s="58" t="s">
        <v>385</v>
      </c>
      <c r="C35" s="441">
        <v>535470</v>
      </c>
      <c r="D35" s="444">
        <v>535470</v>
      </c>
      <c r="E35" s="472">
        <v>247140</v>
      </c>
      <c r="F35" s="485">
        <v>5</v>
      </c>
      <c r="G35" s="452" t="s">
        <v>17</v>
      </c>
      <c r="H35" s="441">
        <v>75594</v>
      </c>
      <c r="I35" s="441">
        <v>40611</v>
      </c>
      <c r="J35" s="472">
        <v>112500</v>
      </c>
      <c r="K35" s="487">
        <v>29</v>
      </c>
      <c r="M35" s="455"/>
    </row>
    <row r="36" spans="2:13" ht="16.5">
      <c r="B36" s="58" t="s">
        <v>350</v>
      </c>
      <c r="C36" s="441">
        <v>175000</v>
      </c>
      <c r="D36" s="444">
        <v>200000</v>
      </c>
      <c r="E36" s="472">
        <v>250000</v>
      </c>
      <c r="F36" s="486"/>
      <c r="G36" s="452" t="s">
        <v>319</v>
      </c>
      <c r="H36" s="441">
        <v>60000</v>
      </c>
      <c r="I36" s="441">
        <v>55000</v>
      </c>
      <c r="J36" s="472">
        <v>100000</v>
      </c>
      <c r="K36" s="488"/>
      <c r="M36" s="455"/>
    </row>
    <row r="37" spans="2:13" ht="30">
      <c r="B37" s="443"/>
      <c r="C37" s="441"/>
      <c r="D37" s="441"/>
      <c r="E37" s="472"/>
      <c r="F37" s="445"/>
      <c r="G37" s="452" t="s">
        <v>78</v>
      </c>
      <c r="H37" s="441">
        <v>25000</v>
      </c>
      <c r="I37" s="441">
        <v>12000</v>
      </c>
      <c r="J37" s="472">
        <v>48000</v>
      </c>
      <c r="K37" s="446">
        <v>30</v>
      </c>
      <c r="M37" s="455"/>
    </row>
    <row r="38" spans="2:13" ht="15.75">
      <c r="B38" s="443"/>
      <c r="C38" s="441"/>
      <c r="D38" s="441"/>
      <c r="E38" s="472"/>
      <c r="F38" s="445"/>
      <c r="G38" s="452" t="s">
        <v>34</v>
      </c>
      <c r="H38" s="441">
        <v>31360</v>
      </c>
      <c r="I38" s="441">
        <v>2050</v>
      </c>
      <c r="J38" s="472">
        <v>20000</v>
      </c>
      <c r="K38" s="446">
        <v>31</v>
      </c>
      <c r="M38" s="455"/>
    </row>
    <row r="39" spans="2:13" ht="15.75">
      <c r="B39" s="443"/>
      <c r="C39" s="441"/>
      <c r="D39" s="441"/>
      <c r="E39" s="472"/>
      <c r="F39" s="445"/>
      <c r="G39" s="452" t="s">
        <v>18</v>
      </c>
      <c r="H39" s="441">
        <v>16216</v>
      </c>
      <c r="I39" s="441">
        <v>10959</v>
      </c>
      <c r="J39" s="472">
        <v>15000</v>
      </c>
      <c r="K39" s="446">
        <v>32</v>
      </c>
      <c r="M39" s="455"/>
    </row>
    <row r="40" spans="2:13" ht="15" customHeight="1">
      <c r="B40" s="443"/>
      <c r="C40" s="441"/>
      <c r="D40" s="441"/>
      <c r="E40" s="472"/>
      <c r="F40" s="445"/>
      <c r="G40" s="452" t="s">
        <v>32</v>
      </c>
      <c r="H40" s="441">
        <v>667330</v>
      </c>
      <c r="I40" s="441">
        <v>667330</v>
      </c>
      <c r="J40" s="472">
        <v>199000</v>
      </c>
      <c r="K40" s="446">
        <v>33</v>
      </c>
      <c r="M40" s="455"/>
    </row>
    <row r="41" spans="2:13" ht="15.75">
      <c r="B41" s="443"/>
      <c r="C41" s="441"/>
      <c r="D41" s="441"/>
      <c r="E41" s="472"/>
      <c r="F41" s="445"/>
      <c r="G41" s="443" t="s">
        <v>19</v>
      </c>
      <c r="H41" s="441">
        <v>6415</v>
      </c>
      <c r="I41" s="441">
        <v>576</v>
      </c>
      <c r="J41" s="472">
        <v>5000</v>
      </c>
      <c r="K41" s="446">
        <v>34</v>
      </c>
      <c r="M41" s="455"/>
    </row>
    <row r="42" spans="2:13" ht="15.75">
      <c r="B42" s="443"/>
      <c r="C42" s="441"/>
      <c r="D42" s="441"/>
      <c r="E42" s="472"/>
      <c r="F42" s="445"/>
      <c r="G42" s="443" t="s">
        <v>60</v>
      </c>
      <c r="H42" s="441">
        <v>30000</v>
      </c>
      <c r="I42" s="441">
        <v>0</v>
      </c>
      <c r="J42" s="472">
        <v>25000</v>
      </c>
      <c r="K42" s="446">
        <v>35</v>
      </c>
      <c r="M42" s="455"/>
    </row>
    <row r="43" spans="2:11" ht="15.75">
      <c r="B43" s="443"/>
      <c r="C43" s="441"/>
      <c r="D43" s="441"/>
      <c r="E43" s="472"/>
      <c r="F43" s="445"/>
      <c r="G43" s="443" t="s">
        <v>380</v>
      </c>
      <c r="H43" s="441">
        <v>160132</v>
      </c>
      <c r="I43" s="441">
        <v>39220</v>
      </c>
      <c r="J43" s="472">
        <v>170000</v>
      </c>
      <c r="K43" s="446">
        <v>36</v>
      </c>
    </row>
    <row r="44" spans="2:13" ht="15.75">
      <c r="B44" s="443"/>
      <c r="C44" s="441"/>
      <c r="D44" s="441"/>
      <c r="E44" s="472"/>
      <c r="F44" s="445"/>
      <c r="G44" s="443" t="s">
        <v>826</v>
      </c>
      <c r="H44" s="441">
        <v>310000</v>
      </c>
      <c r="I44" s="441">
        <v>306112</v>
      </c>
      <c r="J44" s="472">
        <v>0</v>
      </c>
      <c r="K44" s="446">
        <v>37</v>
      </c>
      <c r="M44" s="455"/>
    </row>
    <row r="45" spans="2:13" ht="15.75">
      <c r="B45" s="443"/>
      <c r="C45" s="441"/>
      <c r="D45" s="441"/>
      <c r="E45" s="472"/>
      <c r="F45" s="445"/>
      <c r="G45" s="443" t="s">
        <v>277</v>
      </c>
      <c r="H45" s="441">
        <v>54800</v>
      </c>
      <c r="I45" s="441">
        <v>2000</v>
      </c>
      <c r="J45" s="472">
        <v>5000</v>
      </c>
      <c r="K45" s="446">
        <v>38</v>
      </c>
      <c r="M45" s="455"/>
    </row>
    <row r="46" spans="2:13" ht="15.75">
      <c r="B46" s="443"/>
      <c r="C46" s="441"/>
      <c r="D46" s="441"/>
      <c r="E46" s="472"/>
      <c r="F46" s="445"/>
      <c r="G46" s="443" t="s">
        <v>262</v>
      </c>
      <c r="H46" s="441">
        <v>270009</v>
      </c>
      <c r="I46" s="441">
        <v>139517</v>
      </c>
      <c r="J46" s="472">
        <v>180000</v>
      </c>
      <c r="K46" s="446">
        <v>39</v>
      </c>
      <c r="M46" s="455"/>
    </row>
    <row r="47" spans="2:11" ht="15.75">
      <c r="B47" s="443"/>
      <c r="C47" s="441"/>
      <c r="D47" s="441"/>
      <c r="E47" s="472"/>
      <c r="F47" s="445"/>
      <c r="G47" s="443" t="s">
        <v>827</v>
      </c>
      <c r="H47" s="441">
        <v>40000</v>
      </c>
      <c r="I47" s="441">
        <v>5414</v>
      </c>
      <c r="J47" s="472">
        <v>10000</v>
      </c>
      <c r="K47" s="446">
        <v>40</v>
      </c>
    </row>
    <row r="48" spans="2:13" ht="15.75">
      <c r="B48" s="443"/>
      <c r="C48" s="441"/>
      <c r="D48" s="441"/>
      <c r="E48" s="472"/>
      <c r="F48" s="445"/>
      <c r="G48" s="443" t="s">
        <v>125</v>
      </c>
      <c r="H48" s="441">
        <v>0</v>
      </c>
      <c r="I48" s="441">
        <v>0</v>
      </c>
      <c r="J48" s="472">
        <v>0</v>
      </c>
      <c r="K48" s="446"/>
      <c r="M48" s="455"/>
    </row>
    <row r="49" spans="2:11" ht="15.75">
      <c r="B49" s="447" t="s">
        <v>63</v>
      </c>
      <c r="C49" s="448">
        <f>SUM(C17:C48)</f>
        <v>26462831</v>
      </c>
      <c r="D49" s="448">
        <f>SUM(D17:D48)</f>
        <v>26490016</v>
      </c>
      <c r="E49" s="448">
        <f>SUM(E17:E48)</f>
        <v>19898606</v>
      </c>
      <c r="F49" s="445"/>
      <c r="G49" s="438" t="s">
        <v>64</v>
      </c>
      <c r="H49" s="465">
        <f>SUM(H17:H48)</f>
        <v>38569030</v>
      </c>
      <c r="I49" s="465">
        <f>SUM(I17:I48)</f>
        <v>36884779</v>
      </c>
      <c r="J49" s="465">
        <f>SUM(J17:J48)</f>
        <v>35583481</v>
      </c>
      <c r="K49" s="446"/>
    </row>
    <row r="50" spans="2:13" ht="15.75">
      <c r="B50" s="449" t="s">
        <v>20</v>
      </c>
      <c r="C50" s="441"/>
      <c r="D50" s="441"/>
      <c r="E50" s="472"/>
      <c r="F50" s="445"/>
      <c r="G50" s="449" t="s">
        <v>65</v>
      </c>
      <c r="H50" s="441"/>
      <c r="I50" s="441"/>
      <c r="J50" s="472"/>
      <c r="K50" s="446"/>
      <c r="M50" s="455"/>
    </row>
    <row r="51" spans="2:13" ht="15.75">
      <c r="B51" s="443" t="s">
        <v>21</v>
      </c>
      <c r="C51" s="441">
        <v>215000</v>
      </c>
      <c r="D51" s="441">
        <v>215000</v>
      </c>
      <c r="E51" s="472">
        <v>300000</v>
      </c>
      <c r="F51" s="445">
        <v>6</v>
      </c>
      <c r="G51" s="443" t="s">
        <v>22</v>
      </c>
      <c r="H51" s="441">
        <v>388000</v>
      </c>
      <c r="I51" s="441">
        <v>0</v>
      </c>
      <c r="J51" s="472">
        <v>300000</v>
      </c>
      <c r="K51" s="446"/>
      <c r="M51" s="455"/>
    </row>
    <row r="52" spans="2:13" ht="15.75">
      <c r="B52" s="443"/>
      <c r="C52" s="441"/>
      <c r="D52" s="441"/>
      <c r="E52" s="472"/>
      <c r="F52" s="466"/>
      <c r="G52" s="443" t="s">
        <v>136</v>
      </c>
      <c r="H52" s="441">
        <v>308240</v>
      </c>
      <c r="I52" s="441">
        <v>308240</v>
      </c>
      <c r="J52" s="472">
        <v>0</v>
      </c>
      <c r="K52" s="446"/>
      <c r="M52" s="455"/>
    </row>
    <row r="53" spans="2:11" ht="15.75">
      <c r="B53" s="449" t="s">
        <v>66</v>
      </c>
      <c r="C53" s="448">
        <f>SUM(C51:C52)</f>
        <v>215000</v>
      </c>
      <c r="D53" s="448">
        <f>SUM(D51:D52)</f>
        <v>215000</v>
      </c>
      <c r="E53" s="448">
        <f>SUM(E51:E52)</f>
        <v>300000</v>
      </c>
      <c r="F53" s="445"/>
      <c r="G53" s="449" t="s">
        <v>67</v>
      </c>
      <c r="H53" s="448">
        <f>SUM(H51:H52)</f>
        <v>696240</v>
      </c>
      <c r="I53" s="448">
        <f>SUM(I51:I52)</f>
        <v>308240</v>
      </c>
      <c r="J53" s="448">
        <f>SUM(J51:J52)</f>
        <v>300000</v>
      </c>
      <c r="K53" s="446"/>
    </row>
    <row r="54" spans="2:11" ht="15.75">
      <c r="B54" s="451" t="s">
        <v>68</v>
      </c>
      <c r="C54" s="448">
        <f>C49+C53</f>
        <v>26677831</v>
      </c>
      <c r="D54" s="448">
        <f>D49+D53</f>
        <v>26705016</v>
      </c>
      <c r="E54" s="448">
        <f>E49+E53</f>
        <v>20198606</v>
      </c>
      <c r="F54" s="439"/>
      <c r="G54" s="449" t="s">
        <v>69</v>
      </c>
      <c r="H54" s="448">
        <f>H49+H53</f>
        <v>39265270</v>
      </c>
      <c r="I54" s="448">
        <f>I49+I53</f>
        <v>37193019</v>
      </c>
      <c r="J54" s="448">
        <f>J49+J53</f>
        <v>35883481</v>
      </c>
      <c r="K54" s="442"/>
    </row>
    <row r="55" spans="2:11" ht="25.5">
      <c r="B55" s="449" t="s">
        <v>37</v>
      </c>
      <c r="C55" s="441"/>
      <c r="D55" s="441"/>
      <c r="E55" s="472"/>
      <c r="F55" s="445"/>
      <c r="G55" s="449" t="s">
        <v>28</v>
      </c>
      <c r="H55" s="441"/>
      <c r="I55" s="467"/>
      <c r="J55" s="472"/>
      <c r="K55" s="446"/>
    </row>
    <row r="56" spans="2:11" ht="15.75">
      <c r="B56" s="452" t="s">
        <v>38</v>
      </c>
      <c r="C56" s="441">
        <v>13927</v>
      </c>
      <c r="D56" s="453">
        <v>13927</v>
      </c>
      <c r="E56" s="472">
        <v>0</v>
      </c>
      <c r="F56" s="468">
        <v>7</v>
      </c>
      <c r="G56" s="469" t="s">
        <v>232</v>
      </c>
      <c r="H56" s="441">
        <v>50125.22</v>
      </c>
      <c r="I56" s="441">
        <v>50125.22</v>
      </c>
      <c r="J56" s="441">
        <v>50125.22</v>
      </c>
      <c r="K56" s="445"/>
    </row>
    <row r="57" spans="2:11" ht="15.75">
      <c r="B57" s="443" t="s">
        <v>257</v>
      </c>
      <c r="C57" s="441">
        <v>308240</v>
      </c>
      <c r="D57" s="441">
        <v>308240</v>
      </c>
      <c r="E57" s="472">
        <v>0</v>
      </c>
      <c r="F57" s="468">
        <v>8</v>
      </c>
      <c r="G57" s="469" t="s">
        <v>274</v>
      </c>
      <c r="H57" s="441">
        <v>9565.8</v>
      </c>
      <c r="I57" s="441">
        <v>9565.8</v>
      </c>
      <c r="J57" s="441">
        <v>9565.8</v>
      </c>
      <c r="K57" s="445"/>
    </row>
    <row r="58" spans="2:11" ht="15.75">
      <c r="B58" s="443" t="s">
        <v>70</v>
      </c>
      <c r="C58" s="441">
        <v>49000</v>
      </c>
      <c r="D58" s="441">
        <v>49000</v>
      </c>
      <c r="E58" s="472">
        <v>60000</v>
      </c>
      <c r="F58" s="468">
        <v>9</v>
      </c>
      <c r="G58" s="471" t="s">
        <v>275</v>
      </c>
      <c r="H58" s="441">
        <v>19610.96</v>
      </c>
      <c r="I58" s="441">
        <v>19610.96</v>
      </c>
      <c r="J58" s="441">
        <v>19610.96</v>
      </c>
      <c r="K58" s="445"/>
    </row>
    <row r="59" spans="2:11" ht="15.75">
      <c r="B59" s="443" t="s">
        <v>77</v>
      </c>
      <c r="C59" s="441">
        <v>14000</v>
      </c>
      <c r="D59" s="441">
        <v>7630</v>
      </c>
      <c r="E59" s="472">
        <v>7630</v>
      </c>
      <c r="F59" s="468"/>
      <c r="G59" s="469" t="s">
        <v>230</v>
      </c>
      <c r="H59" s="441">
        <v>257348.91</v>
      </c>
      <c r="I59" s="441">
        <v>257348.91</v>
      </c>
      <c r="J59" s="441">
        <v>257348.91</v>
      </c>
      <c r="K59" s="439"/>
    </row>
    <row r="60" spans="2:11" ht="30">
      <c r="B60" s="443" t="s">
        <v>258</v>
      </c>
      <c r="C60" s="441">
        <v>25000</v>
      </c>
      <c r="D60" s="441">
        <v>25500</v>
      </c>
      <c r="E60" s="472">
        <v>25000</v>
      </c>
      <c r="F60" s="468">
        <v>10</v>
      </c>
      <c r="G60" s="469" t="s">
        <v>231</v>
      </c>
      <c r="H60" s="441">
        <v>1397.42</v>
      </c>
      <c r="I60" s="441">
        <v>1397.42</v>
      </c>
      <c r="J60" s="441">
        <v>1397.42</v>
      </c>
      <c r="K60" s="439"/>
    </row>
    <row r="61" spans="2:11" ht="15.75">
      <c r="B61" s="443" t="s">
        <v>344</v>
      </c>
      <c r="C61" s="441">
        <v>272544</v>
      </c>
      <c r="D61" s="441">
        <v>279091</v>
      </c>
      <c r="E61" s="472">
        <v>260000</v>
      </c>
      <c r="F61" s="468">
        <v>11</v>
      </c>
      <c r="G61" s="469" t="s">
        <v>31</v>
      </c>
      <c r="H61" s="441">
        <v>26793.87</v>
      </c>
      <c r="I61" s="441">
        <v>26793.87</v>
      </c>
      <c r="J61" s="441">
        <v>26793.87</v>
      </c>
      <c r="K61" s="449"/>
    </row>
    <row r="62" spans="2:11" ht="30">
      <c r="B62" s="443" t="s">
        <v>345</v>
      </c>
      <c r="C62" s="441">
        <v>200000</v>
      </c>
      <c r="D62" s="441">
        <v>0</v>
      </c>
      <c r="E62" s="472">
        <v>314000</v>
      </c>
      <c r="F62" s="468">
        <v>12</v>
      </c>
      <c r="G62" s="469" t="s">
        <v>59</v>
      </c>
      <c r="H62" s="441">
        <v>110002.42</v>
      </c>
      <c r="I62" s="441">
        <v>110002.42</v>
      </c>
      <c r="J62" s="441">
        <v>110002.42</v>
      </c>
      <c r="K62" s="449"/>
    </row>
    <row r="63" spans="2:11" ht="30">
      <c r="B63" s="443" t="s">
        <v>346</v>
      </c>
      <c r="C63" s="441">
        <v>250000</v>
      </c>
      <c r="D63" s="441">
        <v>0</v>
      </c>
      <c r="E63" s="472">
        <v>250000</v>
      </c>
      <c r="F63" s="468">
        <v>13</v>
      </c>
      <c r="G63" s="469" t="s">
        <v>828</v>
      </c>
      <c r="H63" s="441">
        <v>21.4</v>
      </c>
      <c r="I63" s="441">
        <v>21.4</v>
      </c>
      <c r="J63" s="441">
        <v>21.4</v>
      </c>
      <c r="K63" s="449"/>
    </row>
    <row r="64" spans="2:11" ht="15.75">
      <c r="B64" s="3" t="s">
        <v>387</v>
      </c>
      <c r="C64" s="441">
        <v>113000</v>
      </c>
      <c r="D64" s="472">
        <v>113000</v>
      </c>
      <c r="E64" s="472">
        <v>120000</v>
      </c>
      <c r="F64" s="56">
        <v>14</v>
      </c>
      <c r="G64" s="469" t="s">
        <v>829</v>
      </c>
      <c r="H64" s="441">
        <v>315.65</v>
      </c>
      <c r="I64" s="441">
        <v>315.65</v>
      </c>
      <c r="J64" s="441">
        <v>315.65</v>
      </c>
      <c r="K64" s="449"/>
    </row>
    <row r="65" spans="2:11" ht="15.75">
      <c r="B65" s="443" t="s">
        <v>830</v>
      </c>
      <c r="C65" s="441">
        <v>1030956</v>
      </c>
      <c r="D65" s="473">
        <v>1076192</v>
      </c>
      <c r="E65" s="472">
        <v>275000</v>
      </c>
      <c r="F65" s="474">
        <v>15</v>
      </c>
      <c r="G65" s="469" t="s">
        <v>831</v>
      </c>
      <c r="H65" s="441">
        <v>5876.4400000000005</v>
      </c>
      <c r="I65" s="441">
        <v>5876.4400000000005</v>
      </c>
      <c r="J65" s="441">
        <v>5876.4400000000005</v>
      </c>
      <c r="K65" s="449"/>
    </row>
    <row r="66" spans="2:11" ht="30">
      <c r="B66" s="54" t="s">
        <v>131</v>
      </c>
      <c r="C66" s="329"/>
      <c r="D66" s="329"/>
      <c r="E66" s="472"/>
      <c r="F66" s="475"/>
      <c r="G66" s="469" t="s">
        <v>233</v>
      </c>
      <c r="H66" s="441">
        <v>514.67</v>
      </c>
      <c r="I66" s="441">
        <v>514.67</v>
      </c>
      <c r="J66" s="441">
        <v>514.67</v>
      </c>
      <c r="K66" s="449"/>
    </row>
    <row r="67" spans="2:11" ht="15.75">
      <c r="B67" s="58"/>
      <c r="C67" s="466"/>
      <c r="D67" s="466"/>
      <c r="E67" s="472"/>
      <c r="F67" s="475"/>
      <c r="G67" s="469" t="s">
        <v>234</v>
      </c>
      <c r="H67" s="441">
        <v>908.4300000000001</v>
      </c>
      <c r="I67" s="441">
        <v>908.4300000000001</v>
      </c>
      <c r="J67" s="441">
        <v>908.4300000000001</v>
      </c>
      <c r="K67" s="449"/>
    </row>
    <row r="68" spans="2:11" ht="15.75">
      <c r="B68" s="58"/>
      <c r="C68" s="466"/>
      <c r="D68" s="466"/>
      <c r="E68" s="472"/>
      <c r="F68" s="475"/>
      <c r="G68" s="469" t="s">
        <v>235</v>
      </c>
      <c r="H68" s="441">
        <v>1969.87</v>
      </c>
      <c r="I68" s="441">
        <v>1969.87</v>
      </c>
      <c r="J68" s="441">
        <v>1969.87</v>
      </c>
      <c r="K68" s="449"/>
    </row>
    <row r="69" spans="2:11" ht="15.75">
      <c r="B69" s="58"/>
      <c r="C69" s="466"/>
      <c r="D69" s="466"/>
      <c r="E69" s="472"/>
      <c r="F69" s="475"/>
      <c r="G69" s="469" t="s">
        <v>236</v>
      </c>
      <c r="H69" s="441">
        <v>732.95</v>
      </c>
      <c r="I69" s="441">
        <v>732.95</v>
      </c>
      <c r="J69" s="441">
        <v>732.95</v>
      </c>
      <c r="K69" s="449"/>
    </row>
    <row r="70" spans="2:11" ht="15.75">
      <c r="B70" s="58"/>
      <c r="C70" s="466"/>
      <c r="D70" s="466"/>
      <c r="E70" s="472"/>
      <c r="F70" s="475"/>
      <c r="G70" s="469" t="s">
        <v>237</v>
      </c>
      <c r="H70" s="441">
        <v>138887.07</v>
      </c>
      <c r="I70" s="441">
        <v>138887.07</v>
      </c>
      <c r="J70" s="441">
        <v>138887.07</v>
      </c>
      <c r="K70" s="449"/>
    </row>
    <row r="71" spans="2:11" ht="15.75">
      <c r="B71" s="58"/>
      <c r="C71" s="329"/>
      <c r="D71" s="329"/>
      <c r="E71" s="472"/>
      <c r="F71" s="476"/>
      <c r="G71" s="469" t="s">
        <v>238</v>
      </c>
      <c r="H71" s="441">
        <v>353.1</v>
      </c>
      <c r="I71" s="441">
        <v>353.1</v>
      </c>
      <c r="J71" s="441">
        <v>353.1</v>
      </c>
      <c r="K71" s="449"/>
    </row>
    <row r="72" spans="2:11" ht="15.75">
      <c r="B72" s="58"/>
      <c r="C72" s="329"/>
      <c r="D72" s="329"/>
      <c r="E72" s="472"/>
      <c r="F72" s="476"/>
      <c r="G72" s="469" t="s">
        <v>239</v>
      </c>
      <c r="H72" s="441">
        <v>72595.22</v>
      </c>
      <c r="I72" s="441">
        <v>72595.22</v>
      </c>
      <c r="J72" s="441">
        <v>72595.22</v>
      </c>
      <c r="K72" s="449"/>
    </row>
    <row r="73" spans="2:11" ht="15.75">
      <c r="B73" s="58"/>
      <c r="C73" s="329"/>
      <c r="D73" s="329"/>
      <c r="E73" s="472"/>
      <c r="F73" s="476"/>
      <c r="G73" s="469" t="s">
        <v>240</v>
      </c>
      <c r="H73" s="441">
        <v>858.14</v>
      </c>
      <c r="I73" s="441">
        <v>858.14</v>
      </c>
      <c r="J73" s="441">
        <v>858.14</v>
      </c>
      <c r="K73" s="449"/>
    </row>
    <row r="74" spans="2:11" ht="15.75">
      <c r="B74" s="58"/>
      <c r="C74" s="329"/>
      <c r="D74" s="329"/>
      <c r="E74" s="472"/>
      <c r="F74" s="476"/>
      <c r="G74" s="469" t="s">
        <v>49</v>
      </c>
      <c r="H74" s="441">
        <v>8469.05</v>
      </c>
      <c r="I74" s="441">
        <v>8469.05</v>
      </c>
      <c r="J74" s="441">
        <v>8469.05</v>
      </c>
      <c r="K74" s="449"/>
    </row>
    <row r="75" spans="2:11" ht="15.75">
      <c r="B75" s="58"/>
      <c r="C75" s="329"/>
      <c r="D75" s="329"/>
      <c r="E75" s="472"/>
      <c r="F75" s="476"/>
      <c r="G75" s="469" t="s">
        <v>276</v>
      </c>
      <c r="H75" s="441">
        <v>483.64</v>
      </c>
      <c r="I75" s="441">
        <v>483.64</v>
      </c>
      <c r="J75" s="441">
        <v>483.64</v>
      </c>
      <c r="K75" s="449"/>
    </row>
    <row r="76" spans="2:11" ht="15.75">
      <c r="B76" s="58"/>
      <c r="C76" s="329"/>
      <c r="D76" s="329"/>
      <c r="E76" s="472"/>
      <c r="F76" s="476"/>
      <c r="G76" s="469" t="s">
        <v>226</v>
      </c>
      <c r="H76" s="441">
        <v>8309.62</v>
      </c>
      <c r="I76" s="441">
        <v>8309.62</v>
      </c>
      <c r="J76" s="441">
        <v>8309.62</v>
      </c>
      <c r="K76" s="449"/>
    </row>
    <row r="77" spans="2:11" ht="15.75">
      <c r="B77" s="58"/>
      <c r="C77" s="329"/>
      <c r="D77" s="329"/>
      <c r="E77" s="472"/>
      <c r="F77" s="476"/>
      <c r="G77" s="469" t="s">
        <v>241</v>
      </c>
      <c r="H77" s="441">
        <v>49520.67</v>
      </c>
      <c r="I77" s="441">
        <v>49520.67</v>
      </c>
      <c r="J77" s="441">
        <v>49520.67</v>
      </c>
      <c r="K77" s="449"/>
    </row>
    <row r="78" spans="2:11" ht="15.75">
      <c r="B78" s="58"/>
      <c r="C78" s="329"/>
      <c r="D78" s="329"/>
      <c r="E78" s="472"/>
      <c r="F78" s="476"/>
      <c r="G78" s="469" t="s">
        <v>141</v>
      </c>
      <c r="H78" s="441">
        <v>54.57</v>
      </c>
      <c r="I78" s="441">
        <v>54.57</v>
      </c>
      <c r="J78" s="441">
        <v>54.57</v>
      </c>
      <c r="K78" s="449"/>
    </row>
    <row r="79" spans="2:11" ht="15.75">
      <c r="B79" s="58"/>
      <c r="C79" s="329"/>
      <c r="D79" s="329"/>
      <c r="E79" s="472"/>
      <c r="F79" s="476"/>
      <c r="G79" s="469" t="s">
        <v>242</v>
      </c>
      <c r="H79" s="441">
        <v>3580.2200000000003</v>
      </c>
      <c r="I79" s="441">
        <v>3580.2200000000003</v>
      </c>
      <c r="J79" s="441">
        <v>3580.2200000000003</v>
      </c>
      <c r="K79" s="449"/>
    </row>
    <row r="80" spans="2:11" ht="15.75">
      <c r="B80" s="58"/>
      <c r="C80" s="329"/>
      <c r="D80" s="329"/>
      <c r="E80" s="472"/>
      <c r="F80" s="476"/>
      <c r="G80" s="469" t="s">
        <v>43</v>
      </c>
      <c r="H80" s="441">
        <v>6433.91</v>
      </c>
      <c r="I80" s="441">
        <v>6433.91</v>
      </c>
      <c r="J80" s="441">
        <v>6433.91</v>
      </c>
      <c r="K80" s="449"/>
    </row>
    <row r="81" spans="2:11" ht="15.75">
      <c r="B81" s="58"/>
      <c r="C81" s="329"/>
      <c r="D81" s="329"/>
      <c r="E81" s="472"/>
      <c r="F81" s="476"/>
      <c r="G81" s="469" t="s">
        <v>243</v>
      </c>
      <c r="H81" s="441">
        <v>2199.92</v>
      </c>
      <c r="I81" s="441">
        <v>2199.92</v>
      </c>
      <c r="J81" s="441">
        <v>2199.92</v>
      </c>
      <c r="K81" s="449"/>
    </row>
    <row r="82" spans="2:11" ht="15.75">
      <c r="B82" s="58"/>
      <c r="C82" s="329"/>
      <c r="D82" s="329"/>
      <c r="E82" s="472"/>
      <c r="F82" s="476"/>
      <c r="G82" s="469" t="s">
        <v>228</v>
      </c>
      <c r="H82" s="441">
        <v>18241.36</v>
      </c>
      <c r="I82" s="441">
        <v>18241.36</v>
      </c>
      <c r="J82" s="441">
        <v>18241.36</v>
      </c>
      <c r="K82" s="449"/>
    </row>
    <row r="83" spans="2:11" ht="15.75">
      <c r="B83" s="58"/>
      <c r="C83" s="329"/>
      <c r="D83" s="329"/>
      <c r="E83" s="472"/>
      <c r="F83" s="476"/>
      <c r="G83" s="469" t="s">
        <v>204</v>
      </c>
      <c r="H83" s="441">
        <v>36351.11</v>
      </c>
      <c r="I83" s="441">
        <v>36351.11</v>
      </c>
      <c r="J83" s="441">
        <v>36351.11</v>
      </c>
      <c r="K83" s="449"/>
    </row>
    <row r="84" spans="2:11" ht="15.75">
      <c r="B84" s="58"/>
      <c r="C84" s="329"/>
      <c r="D84" s="329"/>
      <c r="E84" s="472"/>
      <c r="F84" s="476"/>
      <c r="G84" s="469" t="s">
        <v>277</v>
      </c>
      <c r="H84" s="441">
        <v>264.29</v>
      </c>
      <c r="I84" s="441">
        <v>264.29</v>
      </c>
      <c r="J84" s="441">
        <v>264.29</v>
      </c>
      <c r="K84" s="449"/>
    </row>
    <row r="85" spans="2:11" ht="15.75">
      <c r="B85" s="58"/>
      <c r="C85" s="329"/>
      <c r="D85" s="329"/>
      <c r="E85" s="472"/>
      <c r="F85" s="476"/>
      <c r="G85" s="469" t="s">
        <v>244</v>
      </c>
      <c r="H85" s="441">
        <v>814741.87</v>
      </c>
      <c r="I85" s="441">
        <v>814741.87</v>
      </c>
      <c r="J85" s="441">
        <v>814741.87</v>
      </c>
      <c r="K85" s="449"/>
    </row>
    <row r="86" spans="2:11" ht="15.75">
      <c r="B86" s="58"/>
      <c r="C86" s="329"/>
      <c r="D86" s="329"/>
      <c r="E86" s="472"/>
      <c r="F86" s="476"/>
      <c r="G86" s="469" t="s">
        <v>832</v>
      </c>
      <c r="H86" s="441">
        <v>7540.29</v>
      </c>
      <c r="I86" s="441">
        <v>7540.29</v>
      </c>
      <c r="J86" s="441">
        <v>7540.29</v>
      </c>
      <c r="K86" s="449"/>
    </row>
    <row r="87" spans="2:11" ht="15.75">
      <c r="B87" s="58"/>
      <c r="C87" s="329"/>
      <c r="D87" s="329"/>
      <c r="E87" s="472"/>
      <c r="F87" s="476"/>
      <c r="G87" s="469" t="s">
        <v>229</v>
      </c>
      <c r="H87" s="441">
        <v>1173.79</v>
      </c>
      <c r="I87" s="441">
        <v>1173.79</v>
      </c>
      <c r="J87" s="441">
        <v>1173.79</v>
      </c>
      <c r="K87" s="449"/>
    </row>
    <row r="88" spans="2:11" ht="15.75">
      <c r="B88" s="58"/>
      <c r="C88" s="329"/>
      <c r="D88" s="329"/>
      <c r="E88" s="472"/>
      <c r="F88" s="476"/>
      <c r="G88" s="469" t="s">
        <v>245</v>
      </c>
      <c r="H88" s="441">
        <v>2162.4700000000003</v>
      </c>
      <c r="I88" s="441">
        <v>2162.4700000000003</v>
      </c>
      <c r="J88" s="441">
        <v>2162.4700000000003</v>
      </c>
      <c r="K88" s="449"/>
    </row>
    <row r="89" spans="2:11" ht="15.75">
      <c r="B89" s="58"/>
      <c r="C89" s="329"/>
      <c r="D89" s="329"/>
      <c r="E89" s="472"/>
      <c r="F89" s="476"/>
      <c r="G89" s="469" t="s">
        <v>227</v>
      </c>
      <c r="H89" s="441">
        <v>109.14</v>
      </c>
      <c r="I89" s="441">
        <v>109.14</v>
      </c>
      <c r="J89" s="441">
        <v>109.14</v>
      </c>
      <c r="K89" s="449"/>
    </row>
    <row r="90" spans="2:11" ht="15.75">
      <c r="B90" s="58"/>
      <c r="C90" s="329"/>
      <c r="D90" s="329"/>
      <c r="E90" s="472"/>
      <c r="F90" s="476"/>
      <c r="G90" s="469" t="s">
        <v>246</v>
      </c>
      <c r="H90" s="441">
        <v>41.730000000000004</v>
      </c>
      <c r="I90" s="441">
        <v>41.730000000000004</v>
      </c>
      <c r="J90" s="441">
        <v>41.730000000000004</v>
      </c>
      <c r="K90" s="449"/>
    </row>
    <row r="91" spans="2:11" ht="15.75">
      <c r="B91" s="58"/>
      <c r="C91" s="329"/>
      <c r="D91" s="329"/>
      <c r="E91" s="472"/>
      <c r="F91" s="476"/>
      <c r="G91" s="469" t="s">
        <v>247</v>
      </c>
      <c r="H91" s="441">
        <v>604.55</v>
      </c>
      <c r="I91" s="441">
        <v>604.55</v>
      </c>
      <c r="J91" s="441">
        <v>604.55</v>
      </c>
      <c r="K91" s="449"/>
    </row>
    <row r="92" spans="2:11" ht="15.75">
      <c r="B92" s="58"/>
      <c r="C92" s="329"/>
      <c r="D92" s="329"/>
      <c r="E92" s="472"/>
      <c r="F92" s="476"/>
      <c r="G92" s="469" t="s">
        <v>248</v>
      </c>
      <c r="H92" s="441">
        <v>31499.73</v>
      </c>
      <c r="I92" s="441">
        <v>31499.73</v>
      </c>
      <c r="J92" s="441">
        <v>31499.73</v>
      </c>
      <c r="K92" s="449"/>
    </row>
    <row r="93" spans="2:11" ht="15.75">
      <c r="B93" s="443"/>
      <c r="C93" s="450"/>
      <c r="D93" s="450"/>
      <c r="E93" s="472"/>
      <c r="F93" s="477"/>
      <c r="G93" s="478" t="s">
        <v>249</v>
      </c>
      <c r="H93" s="441">
        <v>3428603.14</v>
      </c>
      <c r="I93" s="441">
        <v>3428603.14</v>
      </c>
      <c r="J93" s="441">
        <v>3428603.14</v>
      </c>
      <c r="K93" s="449"/>
    </row>
    <row r="94" spans="2:11" ht="15.75">
      <c r="B94" s="443"/>
      <c r="C94" s="450"/>
      <c r="D94" s="450"/>
      <c r="E94" s="472"/>
      <c r="F94" s="477"/>
      <c r="G94" s="478" t="s">
        <v>833</v>
      </c>
      <c r="H94" s="441">
        <v>151493.81</v>
      </c>
      <c r="I94" s="441">
        <v>151493.81</v>
      </c>
      <c r="J94" s="441">
        <v>151493.81</v>
      </c>
      <c r="K94" s="449"/>
    </row>
    <row r="95" spans="2:11" ht="15.75">
      <c r="B95" s="443"/>
      <c r="C95" s="450"/>
      <c r="D95" s="450"/>
      <c r="E95" s="472"/>
      <c r="F95" s="477"/>
      <c r="G95" s="478" t="s">
        <v>278</v>
      </c>
      <c r="H95" s="441">
        <v>76809.95</v>
      </c>
      <c r="I95" s="441">
        <v>76809.95</v>
      </c>
      <c r="J95" s="441">
        <v>76809.95</v>
      </c>
      <c r="K95" s="449"/>
    </row>
    <row r="96" spans="2:11" ht="15.75">
      <c r="B96" s="443"/>
      <c r="C96" s="450"/>
      <c r="D96" s="450"/>
      <c r="E96" s="472"/>
      <c r="F96" s="477"/>
      <c r="G96" s="478" t="s">
        <v>834</v>
      </c>
      <c r="H96" s="441">
        <v>1464.83</v>
      </c>
      <c r="I96" s="441">
        <v>1464.83</v>
      </c>
      <c r="J96" s="441">
        <v>1464.83</v>
      </c>
      <c r="K96" s="449"/>
    </row>
    <row r="97" spans="2:11" ht="15.75">
      <c r="B97" s="443"/>
      <c r="C97" s="450"/>
      <c r="D97" s="450"/>
      <c r="E97" s="472"/>
      <c r="F97" s="477"/>
      <c r="G97" s="478" t="s">
        <v>250</v>
      </c>
      <c r="H97" s="441">
        <v>31911.68</v>
      </c>
      <c r="I97" s="441">
        <v>31911.68</v>
      </c>
      <c r="J97" s="441">
        <v>31911.68</v>
      </c>
      <c r="K97" s="449"/>
    </row>
    <row r="98" spans="2:11" ht="15.75">
      <c r="B98" s="443"/>
      <c r="C98" s="450"/>
      <c r="D98" s="450"/>
      <c r="E98" s="472"/>
      <c r="F98" s="477"/>
      <c r="G98" s="478" t="s">
        <v>251</v>
      </c>
      <c r="H98" s="441">
        <v>10147.880000000001</v>
      </c>
      <c r="I98" s="441">
        <v>10147.880000000001</v>
      </c>
      <c r="J98" s="441">
        <v>10147.880000000001</v>
      </c>
      <c r="K98" s="449"/>
    </row>
    <row r="99" spans="2:11" ht="15.75">
      <c r="B99" s="443"/>
      <c r="C99" s="450"/>
      <c r="D99" s="450"/>
      <c r="E99" s="472"/>
      <c r="F99" s="477"/>
      <c r="G99" s="478" t="s">
        <v>835</v>
      </c>
      <c r="H99" s="441">
        <v>334094.66000000003</v>
      </c>
      <c r="I99" s="441">
        <v>334094.66000000003</v>
      </c>
      <c r="J99" s="441">
        <v>334094.66000000003</v>
      </c>
      <c r="K99" s="449"/>
    </row>
    <row r="100" spans="2:11" ht="15.75">
      <c r="B100" s="443"/>
      <c r="C100" s="450"/>
      <c r="D100" s="450"/>
      <c r="E100" s="472"/>
      <c r="F100" s="477"/>
      <c r="G100" s="478" t="s">
        <v>836</v>
      </c>
      <c r="H100" s="441">
        <v>166111.08000000002</v>
      </c>
      <c r="I100" s="441">
        <v>166111.08000000002</v>
      </c>
      <c r="J100" s="441">
        <v>166111.08000000002</v>
      </c>
      <c r="K100" s="449"/>
    </row>
    <row r="101" spans="2:11" ht="15.75">
      <c r="B101" s="443"/>
      <c r="C101" s="450"/>
      <c r="D101" s="450"/>
      <c r="E101" s="472"/>
      <c r="F101" s="477"/>
      <c r="G101" s="478" t="s">
        <v>252</v>
      </c>
      <c r="H101" s="441">
        <v>51889.65</v>
      </c>
      <c r="I101" s="441">
        <v>51889.65</v>
      </c>
      <c r="J101" s="441">
        <v>51889.65</v>
      </c>
      <c r="K101" s="449"/>
    </row>
    <row r="102" spans="2:11" ht="15.75">
      <c r="B102" s="58"/>
      <c r="C102" s="329"/>
      <c r="D102" s="329"/>
      <c r="E102" s="472"/>
      <c r="F102" s="476"/>
      <c r="G102" s="478" t="s">
        <v>71</v>
      </c>
      <c r="H102" s="441">
        <v>63692.82</v>
      </c>
      <c r="I102" s="441">
        <v>63692.82</v>
      </c>
      <c r="J102" s="441">
        <v>63692.82</v>
      </c>
      <c r="K102" s="449"/>
    </row>
    <row r="103" spans="2:11" ht="15.75">
      <c r="B103" s="58"/>
      <c r="C103" s="329"/>
      <c r="D103" s="329"/>
      <c r="E103" s="472"/>
      <c r="F103" s="476"/>
      <c r="G103" s="478" t="s">
        <v>837</v>
      </c>
      <c r="H103" s="441">
        <v>16424.5</v>
      </c>
      <c r="I103" s="441">
        <v>16424.5</v>
      </c>
      <c r="J103" s="441">
        <v>16424.5</v>
      </c>
      <c r="K103" s="449"/>
    </row>
    <row r="104" spans="2:11" ht="15.75">
      <c r="B104" s="443"/>
      <c r="C104" s="450"/>
      <c r="D104" s="450"/>
      <c r="E104" s="472"/>
      <c r="F104" s="477"/>
      <c r="G104" s="478" t="s">
        <v>279</v>
      </c>
      <c r="H104" s="441">
        <v>944.8100000000001</v>
      </c>
      <c r="I104" s="441">
        <v>944.8100000000001</v>
      </c>
      <c r="J104" s="441">
        <v>944.8100000000001</v>
      </c>
      <c r="K104" s="449"/>
    </row>
    <row r="105" spans="2:11" ht="15.75">
      <c r="B105" s="443"/>
      <c r="C105" s="450"/>
      <c r="D105" s="450"/>
      <c r="E105" s="472"/>
      <c r="F105" s="477"/>
      <c r="G105" s="478" t="s">
        <v>280</v>
      </c>
      <c r="H105" s="441">
        <v>58515.09</v>
      </c>
      <c r="I105" s="441">
        <v>58515.09</v>
      </c>
      <c r="J105" s="441">
        <v>58515.09</v>
      </c>
      <c r="K105" s="449"/>
    </row>
    <row r="106" spans="2:11" ht="15.75">
      <c r="B106" s="443"/>
      <c r="C106" s="450"/>
      <c r="D106" s="450"/>
      <c r="E106" s="472"/>
      <c r="F106" s="477"/>
      <c r="G106" s="478" t="s">
        <v>253</v>
      </c>
      <c r="H106" s="441">
        <v>87201.79000000001</v>
      </c>
      <c r="I106" s="441">
        <v>87201.79000000001</v>
      </c>
      <c r="J106" s="441">
        <v>87201.79000000001</v>
      </c>
      <c r="K106" s="449"/>
    </row>
    <row r="107" spans="2:11" ht="15.75">
      <c r="B107" s="443"/>
      <c r="C107" s="450"/>
      <c r="D107" s="450"/>
      <c r="E107" s="472"/>
      <c r="F107" s="477"/>
      <c r="G107" s="478" t="s">
        <v>254</v>
      </c>
      <c r="H107" s="441">
        <v>53537.45</v>
      </c>
      <c r="I107" s="441">
        <v>53537.45</v>
      </c>
      <c r="J107" s="441">
        <v>53537.45</v>
      </c>
      <c r="K107" s="449"/>
    </row>
    <row r="108" spans="2:11" ht="15.75">
      <c r="B108" s="443"/>
      <c r="C108" s="450"/>
      <c r="D108" s="450"/>
      <c r="E108" s="472"/>
      <c r="F108" s="477"/>
      <c r="G108" s="478" t="s">
        <v>255</v>
      </c>
      <c r="H108" s="441">
        <v>3734.3</v>
      </c>
      <c r="I108" s="441">
        <v>3734.3</v>
      </c>
      <c r="J108" s="441">
        <v>3734.3</v>
      </c>
      <c r="K108" s="449"/>
    </row>
    <row r="109" spans="2:11" ht="15.75">
      <c r="B109" s="443"/>
      <c r="C109" s="450"/>
      <c r="D109" s="450"/>
      <c r="E109" s="472"/>
      <c r="F109" s="477"/>
      <c r="G109" s="469" t="s">
        <v>281</v>
      </c>
      <c r="H109" s="441">
        <v>1045308</v>
      </c>
      <c r="I109" s="470">
        <v>0</v>
      </c>
      <c r="J109" s="472">
        <v>0</v>
      </c>
      <c r="K109" s="449"/>
    </row>
    <row r="110" spans="2:11" ht="15.75">
      <c r="B110" s="443"/>
      <c r="C110" s="450"/>
      <c r="D110" s="450"/>
      <c r="E110" s="472"/>
      <c r="F110" s="477"/>
      <c r="G110" s="469" t="s">
        <v>282</v>
      </c>
      <c r="H110" s="441">
        <v>14722654</v>
      </c>
      <c r="I110" s="470">
        <v>0</v>
      </c>
      <c r="J110" s="472">
        <v>0</v>
      </c>
      <c r="K110" s="449"/>
    </row>
    <row r="111" spans="2:11" ht="15.75">
      <c r="B111" s="443"/>
      <c r="C111" s="450"/>
      <c r="D111" s="450"/>
      <c r="E111" s="472"/>
      <c r="F111" s="477"/>
      <c r="G111" s="469" t="s">
        <v>283</v>
      </c>
      <c r="H111" s="441">
        <v>4357541</v>
      </c>
      <c r="I111" s="470">
        <v>0</v>
      </c>
      <c r="J111" s="472">
        <v>0</v>
      </c>
      <c r="K111" s="449"/>
    </row>
    <row r="112" spans="2:11" ht="19.5" customHeight="1">
      <c r="B112" s="443"/>
      <c r="C112" s="450"/>
      <c r="D112" s="450"/>
      <c r="E112" s="472"/>
      <c r="F112" s="477"/>
      <c r="G112" s="452" t="s">
        <v>284</v>
      </c>
      <c r="H112" s="441">
        <v>268720</v>
      </c>
      <c r="I112" s="441">
        <v>268720</v>
      </c>
      <c r="J112" s="441">
        <v>268720</v>
      </c>
      <c r="K112" s="449"/>
    </row>
    <row r="113" spans="2:11" ht="15.75">
      <c r="B113" s="449" t="s">
        <v>23</v>
      </c>
      <c r="C113" s="448">
        <f>SUM(C56:C112)</f>
        <v>2276667</v>
      </c>
      <c r="D113" s="448">
        <f>SUM(D56:D112)</f>
        <v>1872580</v>
      </c>
      <c r="E113" s="448">
        <f>SUM(E56:E112)</f>
        <v>1311630</v>
      </c>
      <c r="F113" s="439"/>
      <c r="G113" s="449" t="s">
        <v>24</v>
      </c>
      <c r="H113" s="465">
        <f>SUM(H56:H112)</f>
        <v>26620459.91</v>
      </c>
      <c r="I113" s="465">
        <f>SUM(I56:I112)</f>
        <v>6494956.91</v>
      </c>
      <c r="J113" s="465">
        <f>SUM(J56:J112)</f>
        <v>6494956.91</v>
      </c>
      <c r="K113" s="479"/>
    </row>
    <row r="114" spans="2:13" ht="15.75">
      <c r="B114" s="449" t="s">
        <v>73</v>
      </c>
      <c r="C114" s="448">
        <f>C14+C54</f>
        <v>63609062.91</v>
      </c>
      <c r="D114" s="448">
        <f>D14+D54</f>
        <v>41815395.91</v>
      </c>
      <c r="E114" s="448">
        <f>E14+E54</f>
        <v>41419807.91</v>
      </c>
      <c r="F114" s="439"/>
      <c r="G114" s="449" t="s">
        <v>73</v>
      </c>
      <c r="H114" s="465">
        <f>H14+H54</f>
        <v>39265270</v>
      </c>
      <c r="I114" s="465">
        <f>I14+I54</f>
        <v>37193019</v>
      </c>
      <c r="J114" s="465">
        <f>J14+J54</f>
        <v>36236481</v>
      </c>
      <c r="K114" s="442"/>
      <c r="M114" s="455"/>
    </row>
    <row r="115" spans="2:11" ht="15.75">
      <c r="B115" s="449" t="s">
        <v>74</v>
      </c>
      <c r="C115" s="448">
        <f>C54+C113</f>
        <v>28954498</v>
      </c>
      <c r="D115" s="448">
        <f>D54+D113</f>
        <v>28577596</v>
      </c>
      <c r="E115" s="448">
        <f>E54+E113</f>
        <v>21510236</v>
      </c>
      <c r="F115" s="439"/>
      <c r="G115" s="449" t="s">
        <v>74</v>
      </c>
      <c r="H115" s="465">
        <f>H54+H113</f>
        <v>65885729.91</v>
      </c>
      <c r="I115" s="465">
        <f>I54+I113</f>
        <v>43687975.91</v>
      </c>
      <c r="J115" s="465">
        <f>J54+J113</f>
        <v>42378437.91</v>
      </c>
      <c r="K115" s="442"/>
    </row>
    <row r="116" spans="2:11" ht="15.75">
      <c r="B116" s="449" t="s">
        <v>75</v>
      </c>
      <c r="C116" s="448">
        <f>C14+C54+C113</f>
        <v>65885729.91</v>
      </c>
      <c r="D116" s="448">
        <f>D14+D54+D113</f>
        <v>43687975.91</v>
      </c>
      <c r="E116" s="448">
        <f>E14+E54+E113</f>
        <v>42731437.91</v>
      </c>
      <c r="F116" s="439"/>
      <c r="G116" s="449" t="s">
        <v>75</v>
      </c>
      <c r="H116" s="465">
        <f>H14+H54+H113</f>
        <v>65885729.91</v>
      </c>
      <c r="I116" s="465">
        <f>I14+I54+I113</f>
        <v>43687975.91</v>
      </c>
      <c r="J116" s="465">
        <f>J14+J54+J113</f>
        <v>42731437.91</v>
      </c>
      <c r="K116" s="442"/>
    </row>
    <row r="117" spans="2:11" ht="31.5" customHeight="1">
      <c r="B117" s="443"/>
      <c r="C117" s="448"/>
      <c r="D117" s="448"/>
      <c r="E117" s="448"/>
      <c r="F117" s="445"/>
      <c r="G117" s="438" t="s">
        <v>25</v>
      </c>
      <c r="H117" s="480"/>
      <c r="I117" s="480"/>
      <c r="J117" s="441"/>
      <c r="K117" s="446"/>
    </row>
    <row r="118" spans="2:11" ht="16.5" customHeight="1">
      <c r="B118" s="70" t="s">
        <v>26</v>
      </c>
      <c r="C118" s="481">
        <f>C116</f>
        <v>65885729.91</v>
      </c>
      <c r="D118" s="481">
        <f>D116</f>
        <v>43687975.91</v>
      </c>
      <c r="E118" s="481">
        <f>E116</f>
        <v>42731437.91</v>
      </c>
      <c r="F118" s="58"/>
      <c r="G118" s="70" t="s">
        <v>26</v>
      </c>
      <c r="H118" s="448">
        <f>H116</f>
        <v>65885729.91</v>
      </c>
      <c r="I118" s="448">
        <f>I116</f>
        <v>43687975.91</v>
      </c>
      <c r="J118" s="448">
        <f>J116</f>
        <v>42731437.91</v>
      </c>
      <c r="K118" s="464"/>
    </row>
    <row r="121" spans="3:10" ht="15">
      <c r="C121" s="263">
        <f>H116-C116</f>
        <v>0</v>
      </c>
      <c r="D121" s="263">
        <f>I116-D116</f>
        <v>0</v>
      </c>
      <c r="E121" s="263">
        <f>J116-E116</f>
        <v>0</v>
      </c>
      <c r="H121" s="455"/>
      <c r="I121" s="455"/>
      <c r="J121" s="455"/>
    </row>
    <row r="123" spans="3:5" ht="15">
      <c r="C123" s="263"/>
      <c r="D123" s="263"/>
      <c r="E123" s="263"/>
    </row>
    <row r="124" spans="3:6" ht="15">
      <c r="C124" s="263"/>
      <c r="D124" s="263"/>
      <c r="E124" s="263"/>
      <c r="F124" s="263"/>
    </row>
  </sheetData>
  <sheetProtection/>
  <mergeCells count="10">
    <mergeCell ref="K30:K31"/>
    <mergeCell ref="F35:F36"/>
    <mergeCell ref="K35:K36"/>
    <mergeCell ref="B2:K2"/>
    <mergeCell ref="B3:K3"/>
    <mergeCell ref="B4:K4"/>
    <mergeCell ref="B6:F6"/>
    <mergeCell ref="G6:K6"/>
    <mergeCell ref="F21:F26"/>
    <mergeCell ref="K21:K22"/>
  </mergeCells>
  <printOptions/>
  <pageMargins left="0" right="0" top="0.511811023622047" bottom="0.196850393700787" header="0.15748031496063" footer="0.196850393700787"/>
  <pageSetup fitToHeight="2" horizontalDpi="600" verticalDpi="600" orientation="landscape" paperSize="9" scale="80" r:id="rId1"/>
  <rowBreaks count="4" manualBreakCount="4">
    <brk id="32" max="12" man="1"/>
    <brk id="64" max="12" man="1"/>
    <brk id="97" max="255" man="1"/>
    <brk id="118" max="255" man="1"/>
  </rowBreaks>
  <colBreaks count="1" manualBreakCount="1">
    <brk id="11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B4:E57"/>
  <sheetViews>
    <sheetView zoomScalePageLayoutView="0" workbookViewId="0" topLeftCell="A4">
      <selection activeCell="C8" sqref="C8"/>
    </sheetView>
  </sheetViews>
  <sheetFormatPr defaultColWidth="9.140625" defaultRowHeight="12.75"/>
  <cols>
    <col min="1" max="1" width="7.28125" style="1" customWidth="1"/>
    <col min="2" max="2" width="7.8515625" style="1" bestFit="1" customWidth="1"/>
    <col min="3" max="3" width="40.421875" style="1" bestFit="1" customWidth="1"/>
    <col min="4" max="4" width="18.421875" style="1" customWidth="1"/>
    <col min="5" max="5" width="18.28125" style="1" customWidth="1"/>
    <col min="6" max="16384" width="9.140625" style="1" customWidth="1"/>
  </cols>
  <sheetData>
    <row r="4" spans="2:5" ht="16.5">
      <c r="B4" s="561" t="s">
        <v>392</v>
      </c>
      <c r="C4" s="561"/>
      <c r="D4" s="561"/>
      <c r="E4" s="561"/>
    </row>
    <row r="5" spans="2:5" ht="16.5">
      <c r="B5" s="53"/>
      <c r="C5" s="53"/>
      <c r="D5" s="53"/>
      <c r="E5" s="53"/>
    </row>
    <row r="6" spans="2:5" ht="16.5">
      <c r="B6" s="560" t="s">
        <v>362</v>
      </c>
      <c r="C6" s="560"/>
      <c r="D6" s="560"/>
      <c r="E6" s="560"/>
    </row>
    <row r="8" spans="2:5" ht="63.75">
      <c r="B8" s="18" t="s">
        <v>40</v>
      </c>
      <c r="C8" s="18" t="s">
        <v>41</v>
      </c>
      <c r="D8" s="75" t="s">
        <v>520</v>
      </c>
      <c r="E8" s="75" t="s">
        <v>521</v>
      </c>
    </row>
    <row r="9" spans="2:5" ht="19.5" customHeight="1">
      <c r="B9" s="27"/>
      <c r="C9" s="77" t="s">
        <v>519</v>
      </c>
      <c r="D9" s="55"/>
      <c r="E9" s="78"/>
    </row>
    <row r="10" spans="2:5" ht="19.5" customHeight="1">
      <c r="B10" s="27"/>
      <c r="C10" s="77" t="s">
        <v>302</v>
      </c>
      <c r="D10" s="55" t="s">
        <v>303</v>
      </c>
      <c r="E10" s="55" t="s">
        <v>303</v>
      </c>
    </row>
    <row r="55" spans="4:5" ht="15">
      <c r="D55" s="1">
        <v>35668531</v>
      </c>
      <c r="E55" s="1">
        <v>38205981</v>
      </c>
    </row>
    <row r="56" spans="4:5" ht="15">
      <c r="D56" s="1">
        <v>25941888</v>
      </c>
      <c r="E56" s="1">
        <v>31116088</v>
      </c>
    </row>
    <row r="57" spans="4:5" ht="15">
      <c r="D57" s="1">
        <v>61610419</v>
      </c>
      <c r="E57" s="1">
        <v>69322069</v>
      </c>
    </row>
  </sheetData>
  <sheetProtection/>
  <mergeCells count="2">
    <mergeCell ref="B4:E4"/>
    <mergeCell ref="B6:E6"/>
  </mergeCells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4:E53"/>
  <sheetViews>
    <sheetView zoomScalePageLayoutView="0" workbookViewId="0" topLeftCell="A7">
      <selection activeCell="C13" sqref="C13"/>
    </sheetView>
  </sheetViews>
  <sheetFormatPr defaultColWidth="9.140625" defaultRowHeight="12.75"/>
  <cols>
    <col min="1" max="1" width="5.00390625" style="1" customWidth="1"/>
    <col min="2" max="2" width="7.8515625" style="1" bestFit="1" customWidth="1"/>
    <col min="3" max="3" width="40.421875" style="1" bestFit="1" customWidth="1"/>
    <col min="4" max="4" width="19.57421875" style="1" customWidth="1"/>
    <col min="5" max="5" width="18.7109375" style="1" customWidth="1"/>
    <col min="6" max="16384" width="9.140625" style="1" customWidth="1"/>
  </cols>
  <sheetData>
    <row r="4" spans="2:5" ht="16.5">
      <c r="B4" s="561" t="s">
        <v>378</v>
      </c>
      <c r="C4" s="561"/>
      <c r="D4" s="561"/>
      <c r="E4" s="561"/>
    </row>
    <row r="5" spans="2:5" ht="16.5">
      <c r="B5" s="53"/>
      <c r="C5" s="53"/>
      <c r="D5" s="53"/>
      <c r="E5" s="53"/>
    </row>
    <row r="6" spans="2:5" ht="16.5">
      <c r="B6" s="560" t="s">
        <v>364</v>
      </c>
      <c r="C6" s="560"/>
      <c r="D6" s="560"/>
      <c r="E6" s="560"/>
    </row>
    <row r="8" spans="2:5" ht="51">
      <c r="B8" s="19" t="s">
        <v>40</v>
      </c>
      <c r="C8" s="19" t="s">
        <v>41</v>
      </c>
      <c r="D8" s="75" t="s">
        <v>537</v>
      </c>
      <c r="E8" s="18" t="s">
        <v>538</v>
      </c>
    </row>
    <row r="9" spans="2:5" ht="24.75" customHeight="1">
      <c r="B9" s="27">
        <v>1</v>
      </c>
      <c r="C9" s="77" t="s">
        <v>205</v>
      </c>
      <c r="D9" s="220">
        <v>25049694</v>
      </c>
      <c r="E9" s="221">
        <v>23884119</v>
      </c>
    </row>
    <row r="10" spans="2:5" ht="24.75" customHeight="1">
      <c r="B10" s="27">
        <v>2</v>
      </c>
      <c r="C10" s="77" t="s">
        <v>206</v>
      </c>
      <c r="D10" s="220">
        <v>9612869</v>
      </c>
      <c r="E10" s="221">
        <v>9891287</v>
      </c>
    </row>
    <row r="11" spans="2:5" ht="24.75" customHeight="1">
      <c r="B11" s="590" t="s">
        <v>26</v>
      </c>
      <c r="C11" s="591"/>
      <c r="D11" s="197">
        <f>SUM(D9:D10)</f>
        <v>34662563</v>
      </c>
      <c r="E11" s="197">
        <f>SUM(E9:E10)</f>
        <v>33775406</v>
      </c>
    </row>
    <row r="13" ht="15">
      <c r="E13" s="260"/>
    </row>
    <row r="51" spans="4:5" ht="15">
      <c r="D51" s="1">
        <v>35668531</v>
      </c>
      <c r="E51" s="1">
        <v>38205981</v>
      </c>
    </row>
    <row r="52" spans="4:5" ht="15">
      <c r="D52" s="1">
        <v>25941888</v>
      </c>
      <c r="E52" s="1">
        <v>31116088</v>
      </c>
    </row>
    <row r="53" spans="4:5" ht="15">
      <c r="D53" s="1">
        <v>61610419</v>
      </c>
      <c r="E53" s="1">
        <v>69322069</v>
      </c>
    </row>
  </sheetData>
  <sheetProtection/>
  <mergeCells count="3">
    <mergeCell ref="B4:E4"/>
    <mergeCell ref="B6:E6"/>
    <mergeCell ref="B11:C11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pane xSplit="2" ySplit="7" topLeftCell="D7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85" sqref="K85"/>
    </sheetView>
  </sheetViews>
  <sheetFormatPr defaultColWidth="9.140625" defaultRowHeight="12.75"/>
  <cols>
    <col min="1" max="1" width="5.28125" style="26" customWidth="1"/>
    <col min="2" max="2" width="37.00390625" style="26" bestFit="1" customWidth="1"/>
    <col min="3" max="3" width="12.28125" style="26" customWidth="1"/>
    <col min="4" max="4" width="12.57421875" style="26" customWidth="1"/>
    <col min="5" max="5" width="12.7109375" style="26" customWidth="1"/>
    <col min="6" max="6" width="12.8515625" style="26" customWidth="1"/>
    <col min="7" max="7" width="12.7109375" style="26" customWidth="1"/>
    <col min="8" max="14" width="13.421875" style="26" customWidth="1"/>
    <col min="15" max="15" width="17.57421875" style="26" customWidth="1"/>
    <col min="16" max="16" width="14.28125" style="26" customWidth="1"/>
    <col min="17" max="17" width="19.140625" style="26" customWidth="1"/>
    <col min="18" max="16384" width="9.140625" style="26" customWidth="1"/>
  </cols>
  <sheetData>
    <row r="1" spans="1:17" ht="15">
      <c r="A1" s="604"/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</row>
    <row r="2" spans="1:17" ht="18">
      <c r="A2" s="593" t="s">
        <v>536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</row>
    <row r="3" spans="1:17" ht="15.75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125"/>
      <c r="P3" s="125"/>
      <c r="Q3" s="125"/>
    </row>
    <row r="4" spans="1:17" ht="15.75">
      <c r="A4" s="594" t="s">
        <v>381</v>
      </c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</row>
    <row r="6" spans="1:17" s="22" customFormat="1" ht="15" customHeight="1">
      <c r="A6" s="602" t="s">
        <v>264</v>
      </c>
      <c r="B6" s="601" t="s">
        <v>265</v>
      </c>
      <c r="C6" s="606" t="s">
        <v>149</v>
      </c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8"/>
      <c r="O6" s="595" t="s">
        <v>523</v>
      </c>
      <c r="P6" s="596" t="s">
        <v>383</v>
      </c>
      <c r="Q6" s="598" t="s">
        <v>522</v>
      </c>
    </row>
    <row r="7" spans="1:17" s="22" customFormat="1" ht="39.75" customHeight="1">
      <c r="A7" s="603"/>
      <c r="B7" s="601"/>
      <c r="C7" s="202">
        <v>43191</v>
      </c>
      <c r="D7" s="202">
        <v>43221</v>
      </c>
      <c r="E7" s="202">
        <v>43252</v>
      </c>
      <c r="F7" s="202">
        <v>43282</v>
      </c>
      <c r="G7" s="202">
        <v>43313</v>
      </c>
      <c r="H7" s="202">
        <v>43344</v>
      </c>
      <c r="I7" s="202">
        <v>43374</v>
      </c>
      <c r="J7" s="202">
        <v>43405</v>
      </c>
      <c r="K7" s="202">
        <v>43435</v>
      </c>
      <c r="L7" s="202">
        <v>43466</v>
      </c>
      <c r="M7" s="202">
        <v>43497</v>
      </c>
      <c r="N7" s="202">
        <v>43525</v>
      </c>
      <c r="O7" s="595"/>
      <c r="P7" s="597"/>
      <c r="Q7" s="599"/>
    </row>
    <row r="8" spans="1:17" s="22" customFormat="1" ht="19.5" customHeight="1">
      <c r="A8" s="203">
        <v>1</v>
      </c>
      <c r="B8" s="208" t="s">
        <v>152</v>
      </c>
      <c r="C8" s="342">
        <v>66570</v>
      </c>
      <c r="D8" s="342">
        <v>66570</v>
      </c>
      <c r="E8" s="204">
        <v>66570</v>
      </c>
      <c r="F8" s="204">
        <v>68586</v>
      </c>
      <c r="G8" s="204">
        <v>68586</v>
      </c>
      <c r="H8" s="204">
        <v>68586</v>
      </c>
      <c r="I8" s="204">
        <v>68586</v>
      </c>
      <c r="J8" s="204">
        <v>68586</v>
      </c>
      <c r="K8" s="204">
        <v>68586</v>
      </c>
      <c r="L8" s="204">
        <v>68586</v>
      </c>
      <c r="M8" s="204">
        <v>68586</v>
      </c>
      <c r="N8" s="204">
        <v>68586</v>
      </c>
      <c r="O8" s="205">
        <f>SUM(C8:N8)</f>
        <v>816984</v>
      </c>
      <c r="P8" s="234">
        <f>N8+(N8*7%)</f>
        <v>73387.02</v>
      </c>
      <c r="Q8" s="207">
        <f>P8*12</f>
        <v>880644.24</v>
      </c>
    </row>
    <row r="9" spans="1:17" s="22" customFormat="1" ht="19.5" customHeight="1">
      <c r="A9" s="203">
        <v>2</v>
      </c>
      <c r="B9" s="208" t="s">
        <v>266</v>
      </c>
      <c r="C9" s="342">
        <v>116149</v>
      </c>
      <c r="D9" s="342">
        <v>116149</v>
      </c>
      <c r="E9" s="204">
        <v>116149</v>
      </c>
      <c r="F9" s="204">
        <v>119653</v>
      </c>
      <c r="G9" s="204">
        <v>119653</v>
      </c>
      <c r="H9" s="204">
        <v>119653</v>
      </c>
      <c r="I9" s="204">
        <v>119653</v>
      </c>
      <c r="J9" s="204">
        <v>119653</v>
      </c>
      <c r="K9" s="204">
        <v>119653</v>
      </c>
      <c r="L9" s="204">
        <v>119653</v>
      </c>
      <c r="M9" s="204">
        <v>119653</v>
      </c>
      <c r="N9" s="204">
        <v>119653</v>
      </c>
      <c r="O9" s="205">
        <f aca="true" t="shared" si="0" ref="O9:O54">SUM(C9:N9)</f>
        <v>1425324</v>
      </c>
      <c r="P9" s="234">
        <f aca="true" t="shared" si="1" ref="P9:P27">N9+(N9*7%)</f>
        <v>128028.71</v>
      </c>
      <c r="Q9" s="207">
        <f aca="true" t="shared" si="2" ref="Q9:Q54">P9*12</f>
        <v>1536344.52</v>
      </c>
    </row>
    <row r="10" spans="1:17" s="22" customFormat="1" ht="19.5" customHeight="1">
      <c r="A10" s="203">
        <v>3</v>
      </c>
      <c r="B10" s="208" t="s">
        <v>267</v>
      </c>
      <c r="C10" s="342">
        <v>155487</v>
      </c>
      <c r="D10" s="342">
        <v>155487</v>
      </c>
      <c r="E10" s="204">
        <v>150404</v>
      </c>
      <c r="F10" s="204">
        <v>0</v>
      </c>
      <c r="G10" s="204">
        <v>0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  <c r="M10" s="204">
        <v>0</v>
      </c>
      <c r="N10" s="204">
        <v>0</v>
      </c>
      <c r="O10" s="205">
        <f t="shared" si="0"/>
        <v>461378</v>
      </c>
      <c r="P10" s="234">
        <f t="shared" si="1"/>
        <v>0</v>
      </c>
      <c r="Q10" s="207">
        <f t="shared" si="2"/>
        <v>0</v>
      </c>
    </row>
    <row r="11" spans="1:17" s="22" customFormat="1" ht="19.5" customHeight="1">
      <c r="A11" s="203">
        <v>4</v>
      </c>
      <c r="B11" s="208" t="s">
        <v>150</v>
      </c>
      <c r="C11" s="342">
        <v>0</v>
      </c>
      <c r="D11" s="342">
        <v>0</v>
      </c>
      <c r="E11" s="204">
        <v>0</v>
      </c>
      <c r="F11" s="204">
        <v>0</v>
      </c>
      <c r="G11" s="204">
        <v>0</v>
      </c>
      <c r="H11" s="204">
        <v>0</v>
      </c>
      <c r="I11" s="204">
        <v>0</v>
      </c>
      <c r="J11" s="204">
        <v>0</v>
      </c>
      <c r="K11" s="204">
        <v>20</v>
      </c>
      <c r="L11" s="204">
        <v>0</v>
      </c>
      <c r="M11" s="204">
        <v>0</v>
      </c>
      <c r="N11" s="204">
        <v>0</v>
      </c>
      <c r="O11" s="205">
        <f t="shared" si="0"/>
        <v>20</v>
      </c>
      <c r="P11" s="234">
        <f t="shared" si="1"/>
        <v>0</v>
      </c>
      <c r="Q11" s="207">
        <f t="shared" si="2"/>
        <v>0</v>
      </c>
    </row>
    <row r="12" spans="1:17" s="22" customFormat="1" ht="19.5" customHeight="1">
      <c r="A12" s="203">
        <v>5</v>
      </c>
      <c r="B12" s="208" t="s">
        <v>212</v>
      </c>
      <c r="C12" s="342">
        <v>60891</v>
      </c>
      <c r="D12" s="342">
        <v>60891</v>
      </c>
      <c r="E12" s="204">
        <v>60891</v>
      </c>
      <c r="F12" s="204">
        <v>62723</v>
      </c>
      <c r="G12" s="204">
        <v>62723</v>
      </c>
      <c r="H12" s="204">
        <v>62723</v>
      </c>
      <c r="I12" s="204">
        <v>62723</v>
      </c>
      <c r="J12" s="204">
        <v>62723</v>
      </c>
      <c r="K12" s="204">
        <v>62723</v>
      </c>
      <c r="L12" s="204">
        <v>62723</v>
      </c>
      <c r="M12" s="204">
        <v>62723</v>
      </c>
      <c r="N12" s="204">
        <v>62723</v>
      </c>
      <c r="O12" s="205">
        <f t="shared" si="0"/>
        <v>747180</v>
      </c>
      <c r="P12" s="234">
        <f t="shared" si="1"/>
        <v>67113.61</v>
      </c>
      <c r="Q12" s="207">
        <f t="shared" si="2"/>
        <v>805363.3200000001</v>
      </c>
    </row>
    <row r="13" spans="1:17" s="22" customFormat="1" ht="19.5" customHeight="1">
      <c r="A13" s="203">
        <v>6</v>
      </c>
      <c r="B13" s="208" t="s">
        <v>151</v>
      </c>
      <c r="C13" s="342">
        <v>109462</v>
      </c>
      <c r="D13" s="342">
        <v>109462</v>
      </c>
      <c r="E13" s="204">
        <v>109462</v>
      </c>
      <c r="F13" s="204">
        <v>112760</v>
      </c>
      <c r="G13" s="204">
        <v>112760</v>
      </c>
      <c r="H13" s="204">
        <v>112760</v>
      </c>
      <c r="I13" s="204">
        <v>112760</v>
      </c>
      <c r="J13" s="204">
        <v>112760</v>
      </c>
      <c r="K13" s="204">
        <v>112760</v>
      </c>
      <c r="L13" s="204">
        <v>109123</v>
      </c>
      <c r="M13" s="204">
        <v>0</v>
      </c>
      <c r="N13" s="204">
        <v>0</v>
      </c>
      <c r="O13" s="205">
        <f t="shared" si="0"/>
        <v>1114069</v>
      </c>
      <c r="P13" s="234">
        <f t="shared" si="1"/>
        <v>0</v>
      </c>
      <c r="Q13" s="207">
        <f t="shared" si="2"/>
        <v>0</v>
      </c>
    </row>
    <row r="14" spans="1:17" s="22" customFormat="1" ht="19.5" customHeight="1">
      <c r="A14" s="203">
        <v>7</v>
      </c>
      <c r="B14" s="208" t="s">
        <v>157</v>
      </c>
      <c r="C14" s="342">
        <v>68479</v>
      </c>
      <c r="D14" s="342">
        <v>68479</v>
      </c>
      <c r="E14" s="204">
        <v>68479</v>
      </c>
      <c r="F14" s="204">
        <v>70510</v>
      </c>
      <c r="G14" s="204">
        <v>70510</v>
      </c>
      <c r="H14" s="204">
        <v>70510</v>
      </c>
      <c r="I14" s="204">
        <v>70510</v>
      </c>
      <c r="J14" s="204">
        <v>70510</v>
      </c>
      <c r="K14" s="204">
        <v>70510</v>
      </c>
      <c r="L14" s="204">
        <v>70510</v>
      </c>
      <c r="M14" s="204">
        <v>17428</v>
      </c>
      <c r="N14" s="204">
        <v>0</v>
      </c>
      <c r="O14" s="205">
        <f t="shared" si="0"/>
        <v>716435</v>
      </c>
      <c r="P14" s="234">
        <f t="shared" si="1"/>
        <v>0</v>
      </c>
      <c r="Q14" s="207">
        <f t="shared" si="2"/>
        <v>0</v>
      </c>
    </row>
    <row r="15" spans="1:17" s="22" customFormat="1" ht="19.5" customHeight="1">
      <c r="A15" s="203">
        <v>8</v>
      </c>
      <c r="B15" s="208" t="s">
        <v>213</v>
      </c>
      <c r="C15" s="342">
        <v>66570</v>
      </c>
      <c r="D15" s="342">
        <v>66570</v>
      </c>
      <c r="E15" s="204">
        <v>66570</v>
      </c>
      <c r="F15" s="204">
        <v>68586</v>
      </c>
      <c r="G15" s="204">
        <v>68586</v>
      </c>
      <c r="H15" s="204">
        <v>68586</v>
      </c>
      <c r="I15" s="204">
        <v>68586</v>
      </c>
      <c r="J15" s="204">
        <v>68586</v>
      </c>
      <c r="K15" s="204">
        <v>112001</v>
      </c>
      <c r="L15" s="204">
        <v>74814</v>
      </c>
      <c r="M15" s="204">
        <v>74814</v>
      </c>
      <c r="N15" s="204">
        <v>74814</v>
      </c>
      <c r="O15" s="205">
        <f t="shared" si="0"/>
        <v>879083</v>
      </c>
      <c r="P15" s="234">
        <f t="shared" si="1"/>
        <v>80050.98</v>
      </c>
      <c r="Q15" s="207">
        <f t="shared" si="2"/>
        <v>960611.76</v>
      </c>
    </row>
    <row r="16" spans="1:17" s="22" customFormat="1" ht="19.5" customHeight="1">
      <c r="A16" s="203">
        <v>9</v>
      </c>
      <c r="B16" s="208" t="s">
        <v>382</v>
      </c>
      <c r="C16" s="342">
        <v>109462</v>
      </c>
      <c r="D16" s="342">
        <v>109462</v>
      </c>
      <c r="E16" s="204">
        <v>109462</v>
      </c>
      <c r="F16" s="204">
        <v>112760</v>
      </c>
      <c r="G16" s="204">
        <v>115760</v>
      </c>
      <c r="H16" s="204">
        <v>112760</v>
      </c>
      <c r="I16" s="204">
        <v>112760</v>
      </c>
      <c r="J16" s="204">
        <v>112760</v>
      </c>
      <c r="K16" s="204">
        <v>112760</v>
      </c>
      <c r="L16" s="204">
        <v>112760</v>
      </c>
      <c r="M16" s="204">
        <v>112760</v>
      </c>
      <c r="N16" s="204">
        <v>112760</v>
      </c>
      <c r="O16" s="205">
        <f t="shared" si="0"/>
        <v>1346226</v>
      </c>
      <c r="P16" s="234">
        <f t="shared" si="1"/>
        <v>120653.2</v>
      </c>
      <c r="Q16" s="207">
        <f t="shared" si="2"/>
        <v>1447838.4</v>
      </c>
    </row>
    <row r="17" spans="1:17" s="22" customFormat="1" ht="19.5" customHeight="1">
      <c r="A17" s="203">
        <v>10</v>
      </c>
      <c r="B17" s="209" t="s">
        <v>268</v>
      </c>
      <c r="C17" s="342">
        <v>49464</v>
      </c>
      <c r="D17" s="342">
        <v>49464</v>
      </c>
      <c r="E17" s="204">
        <v>49464</v>
      </c>
      <c r="F17" s="204">
        <v>50953</v>
      </c>
      <c r="G17" s="204">
        <v>50953</v>
      </c>
      <c r="H17" s="204">
        <v>50953</v>
      </c>
      <c r="I17" s="204">
        <v>50953</v>
      </c>
      <c r="J17" s="204">
        <v>50953</v>
      </c>
      <c r="K17" s="204">
        <v>50953</v>
      </c>
      <c r="L17" s="204">
        <v>50953</v>
      </c>
      <c r="M17" s="204">
        <v>50953</v>
      </c>
      <c r="N17" s="204">
        <v>50953</v>
      </c>
      <c r="O17" s="205">
        <f t="shared" si="0"/>
        <v>606969</v>
      </c>
      <c r="P17" s="234">
        <f t="shared" si="1"/>
        <v>54519.71</v>
      </c>
      <c r="Q17" s="207">
        <f t="shared" si="2"/>
        <v>654236.52</v>
      </c>
    </row>
    <row r="18" spans="1:17" s="22" customFormat="1" ht="19.5" customHeight="1">
      <c r="A18" s="203">
        <v>11</v>
      </c>
      <c r="B18" s="208" t="s">
        <v>269</v>
      </c>
      <c r="C18" s="342">
        <v>152125</v>
      </c>
      <c r="D18" s="342">
        <v>152125</v>
      </c>
      <c r="E18" s="204">
        <v>152125</v>
      </c>
      <c r="F18" s="204">
        <v>156705</v>
      </c>
      <c r="G18" s="204">
        <v>156705</v>
      </c>
      <c r="H18" s="204">
        <v>156705</v>
      </c>
      <c r="I18" s="204">
        <v>156705</v>
      </c>
      <c r="J18" s="204">
        <v>156705</v>
      </c>
      <c r="K18" s="204">
        <v>156705</v>
      </c>
      <c r="L18" s="204">
        <v>156705</v>
      </c>
      <c r="M18" s="204">
        <v>156705</v>
      </c>
      <c r="N18" s="204">
        <v>156705</v>
      </c>
      <c r="O18" s="205">
        <f t="shared" si="0"/>
        <v>1866720</v>
      </c>
      <c r="P18" s="234">
        <f t="shared" si="1"/>
        <v>167674.35</v>
      </c>
      <c r="Q18" s="207">
        <f t="shared" si="2"/>
        <v>2012092.2000000002</v>
      </c>
    </row>
    <row r="19" spans="1:17" s="22" customFormat="1" ht="19.5" customHeight="1">
      <c r="A19" s="203">
        <v>12</v>
      </c>
      <c r="B19" s="208" t="s">
        <v>153</v>
      </c>
      <c r="C19" s="342">
        <v>68586</v>
      </c>
      <c r="D19" s="342">
        <v>68586</v>
      </c>
      <c r="E19" s="204">
        <v>68586</v>
      </c>
      <c r="F19" s="204">
        <v>70647</v>
      </c>
      <c r="G19" s="204">
        <v>70647</v>
      </c>
      <c r="H19" s="204">
        <v>70647</v>
      </c>
      <c r="I19" s="204">
        <v>70647</v>
      </c>
      <c r="J19" s="204">
        <v>70647</v>
      </c>
      <c r="K19" s="204">
        <v>108979</v>
      </c>
      <c r="L19" s="204">
        <v>77036</v>
      </c>
      <c r="M19" s="204">
        <v>77036</v>
      </c>
      <c r="N19" s="204">
        <v>77036</v>
      </c>
      <c r="O19" s="205">
        <f t="shared" si="0"/>
        <v>899080</v>
      </c>
      <c r="P19" s="234">
        <f t="shared" si="1"/>
        <v>82428.52</v>
      </c>
      <c r="Q19" s="207">
        <f t="shared" si="2"/>
        <v>989142.24</v>
      </c>
    </row>
    <row r="20" spans="1:17" s="22" customFormat="1" ht="19.5" customHeight="1">
      <c r="A20" s="203">
        <v>13</v>
      </c>
      <c r="B20" s="208" t="s">
        <v>154</v>
      </c>
      <c r="C20" s="342">
        <v>66570</v>
      </c>
      <c r="D20" s="342">
        <v>66570</v>
      </c>
      <c r="E20" s="204">
        <v>66570</v>
      </c>
      <c r="F20" s="204">
        <v>68586</v>
      </c>
      <c r="G20" s="204">
        <v>68586</v>
      </c>
      <c r="H20" s="204">
        <v>68586</v>
      </c>
      <c r="I20" s="204">
        <v>68586</v>
      </c>
      <c r="J20" s="204">
        <v>68586</v>
      </c>
      <c r="K20" s="204">
        <v>68586</v>
      </c>
      <c r="L20" s="204">
        <v>68586</v>
      </c>
      <c r="M20" s="204">
        <v>68586</v>
      </c>
      <c r="N20" s="204">
        <v>68586</v>
      </c>
      <c r="O20" s="205">
        <f t="shared" si="0"/>
        <v>816984</v>
      </c>
      <c r="P20" s="234">
        <f t="shared" si="1"/>
        <v>73387.02</v>
      </c>
      <c r="Q20" s="207">
        <f t="shared" si="2"/>
        <v>880644.24</v>
      </c>
    </row>
    <row r="21" spans="1:17" s="22" customFormat="1" ht="19.5" customHeight="1">
      <c r="A21" s="203">
        <v>14</v>
      </c>
      <c r="B21" s="208" t="s">
        <v>524</v>
      </c>
      <c r="C21" s="342">
        <v>109462</v>
      </c>
      <c r="D21" s="342">
        <v>109462</v>
      </c>
      <c r="E21" s="204">
        <v>109462</v>
      </c>
      <c r="F21" s="204">
        <v>112760</v>
      </c>
      <c r="G21" s="204">
        <v>112760</v>
      </c>
      <c r="H21" s="204">
        <v>112760</v>
      </c>
      <c r="I21" s="204">
        <v>112760</v>
      </c>
      <c r="J21" s="204">
        <v>112760</v>
      </c>
      <c r="K21" s="204">
        <v>112760</v>
      </c>
      <c r="L21" s="204">
        <v>112760</v>
      </c>
      <c r="M21" s="204">
        <v>112760</v>
      </c>
      <c r="N21" s="204">
        <v>112760</v>
      </c>
      <c r="O21" s="205">
        <f t="shared" si="0"/>
        <v>1343226</v>
      </c>
      <c r="P21" s="234">
        <f t="shared" si="1"/>
        <v>120653.2</v>
      </c>
      <c r="Q21" s="207">
        <f t="shared" si="2"/>
        <v>1447838.4</v>
      </c>
    </row>
    <row r="22" spans="1:17" s="22" customFormat="1" ht="19.5" customHeight="1">
      <c r="A22" s="203">
        <v>15</v>
      </c>
      <c r="B22" s="208" t="s">
        <v>155</v>
      </c>
      <c r="C22" s="342">
        <v>68646</v>
      </c>
      <c r="D22" s="342">
        <v>68646</v>
      </c>
      <c r="E22" s="204">
        <v>68646</v>
      </c>
      <c r="F22" s="204">
        <v>70677</v>
      </c>
      <c r="G22" s="204">
        <v>70677</v>
      </c>
      <c r="H22" s="204">
        <v>70677</v>
      </c>
      <c r="I22" s="204">
        <v>70677</v>
      </c>
      <c r="J22" s="204">
        <v>70677</v>
      </c>
      <c r="K22" s="204">
        <v>95917</v>
      </c>
      <c r="L22" s="204">
        <v>76987</v>
      </c>
      <c r="M22" s="204">
        <v>76987</v>
      </c>
      <c r="N22" s="204">
        <v>76987</v>
      </c>
      <c r="O22" s="205">
        <f t="shared" si="0"/>
        <v>886201</v>
      </c>
      <c r="P22" s="234">
        <f t="shared" si="1"/>
        <v>82376.09</v>
      </c>
      <c r="Q22" s="207">
        <f t="shared" si="2"/>
        <v>988513.08</v>
      </c>
    </row>
    <row r="23" spans="1:17" s="22" customFormat="1" ht="19.5" customHeight="1">
      <c r="A23" s="203">
        <v>16</v>
      </c>
      <c r="B23" s="208" t="s">
        <v>156</v>
      </c>
      <c r="C23" s="342">
        <v>109462</v>
      </c>
      <c r="D23" s="342">
        <v>109462</v>
      </c>
      <c r="E23" s="204">
        <v>109462</v>
      </c>
      <c r="F23" s="204">
        <v>112760</v>
      </c>
      <c r="G23" s="204">
        <v>112760</v>
      </c>
      <c r="H23" s="204">
        <v>112760</v>
      </c>
      <c r="I23" s="204">
        <v>112760</v>
      </c>
      <c r="J23" s="204">
        <v>112760</v>
      </c>
      <c r="K23" s="204">
        <v>112760</v>
      </c>
      <c r="L23" s="204">
        <v>112760</v>
      </c>
      <c r="M23" s="204">
        <v>112760</v>
      </c>
      <c r="N23" s="204">
        <v>112760</v>
      </c>
      <c r="O23" s="205">
        <f t="shared" si="0"/>
        <v>1343226</v>
      </c>
      <c r="P23" s="234">
        <f t="shared" si="1"/>
        <v>120653.2</v>
      </c>
      <c r="Q23" s="207">
        <f t="shared" si="2"/>
        <v>1447838.4</v>
      </c>
    </row>
    <row r="24" spans="1:17" s="22" customFormat="1" ht="19.5" customHeight="1">
      <c r="A24" s="203">
        <v>17</v>
      </c>
      <c r="B24" s="209" t="s">
        <v>525</v>
      </c>
      <c r="C24" s="342">
        <v>114486</v>
      </c>
      <c r="D24" s="342">
        <v>114486</v>
      </c>
      <c r="E24" s="204">
        <v>114486</v>
      </c>
      <c r="F24" s="204">
        <v>117832</v>
      </c>
      <c r="G24" s="204">
        <v>117832</v>
      </c>
      <c r="H24" s="204">
        <v>115442</v>
      </c>
      <c r="I24" s="204">
        <v>115442</v>
      </c>
      <c r="J24" s="204">
        <v>115442</v>
      </c>
      <c r="K24" s="204">
        <v>115442</v>
      </c>
      <c r="L24" s="204">
        <v>115442</v>
      </c>
      <c r="M24" s="204">
        <v>115442</v>
      </c>
      <c r="N24" s="204">
        <v>115442</v>
      </c>
      <c r="O24" s="205">
        <f t="shared" si="0"/>
        <v>1387216</v>
      </c>
      <c r="P24" s="234">
        <f t="shared" si="1"/>
        <v>123522.94</v>
      </c>
      <c r="Q24" s="207">
        <f t="shared" si="2"/>
        <v>1482275.28</v>
      </c>
    </row>
    <row r="25" spans="1:17" s="22" customFormat="1" ht="19.5" customHeight="1">
      <c r="A25" s="203">
        <v>18</v>
      </c>
      <c r="B25" s="343" t="s">
        <v>526</v>
      </c>
      <c r="C25" s="342">
        <v>0</v>
      </c>
      <c r="D25" s="342">
        <v>0</v>
      </c>
      <c r="E25" s="204">
        <v>0</v>
      </c>
      <c r="F25" s="204">
        <v>0</v>
      </c>
      <c r="G25" s="204">
        <v>0</v>
      </c>
      <c r="H25" s="204">
        <v>131821</v>
      </c>
      <c r="I25" s="204">
        <v>187030</v>
      </c>
      <c r="J25" s="204">
        <v>187030</v>
      </c>
      <c r="K25" s="204">
        <v>187030</v>
      </c>
      <c r="L25" s="204">
        <v>187030</v>
      </c>
      <c r="M25" s="204">
        <v>187030</v>
      </c>
      <c r="N25" s="204">
        <v>187030</v>
      </c>
      <c r="O25" s="205">
        <f t="shared" si="0"/>
        <v>1254001</v>
      </c>
      <c r="P25" s="234">
        <f t="shared" si="1"/>
        <v>200122.1</v>
      </c>
      <c r="Q25" s="207">
        <f t="shared" si="2"/>
        <v>2401465.2</v>
      </c>
    </row>
    <row r="26" spans="1:17" s="22" customFormat="1" ht="19.5" customHeight="1">
      <c r="A26" s="203">
        <v>19</v>
      </c>
      <c r="B26" s="208" t="s">
        <v>527</v>
      </c>
      <c r="C26" s="342">
        <v>0</v>
      </c>
      <c r="D26" s="342">
        <v>0</v>
      </c>
      <c r="E26" s="204">
        <v>48939</v>
      </c>
      <c r="F26" s="204">
        <v>20768</v>
      </c>
      <c r="G26" s="204">
        <v>0</v>
      </c>
      <c r="H26" s="204">
        <v>0</v>
      </c>
      <c r="I26" s="204"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5">
        <f t="shared" si="0"/>
        <v>69707</v>
      </c>
      <c r="P26" s="234">
        <f t="shared" si="1"/>
        <v>0</v>
      </c>
      <c r="Q26" s="207">
        <f t="shared" si="2"/>
        <v>0</v>
      </c>
    </row>
    <row r="27" spans="1:17" s="22" customFormat="1" ht="19.5" customHeight="1">
      <c r="A27" s="203">
        <v>20</v>
      </c>
      <c r="B27" s="208" t="s">
        <v>528</v>
      </c>
      <c r="C27" s="342">
        <v>0</v>
      </c>
      <c r="D27" s="342">
        <v>0</v>
      </c>
      <c r="E27" s="204">
        <v>107057</v>
      </c>
      <c r="F27" s="204">
        <v>93542</v>
      </c>
      <c r="G27" s="204">
        <v>0</v>
      </c>
      <c r="H27" s="204">
        <v>0</v>
      </c>
      <c r="I27" s="204">
        <v>0</v>
      </c>
      <c r="J27" s="204">
        <v>0</v>
      </c>
      <c r="K27" s="204">
        <v>0</v>
      </c>
      <c r="L27" s="204">
        <v>0</v>
      </c>
      <c r="M27" s="204">
        <v>0</v>
      </c>
      <c r="N27" s="204">
        <v>0</v>
      </c>
      <c r="O27" s="205">
        <f t="shared" si="0"/>
        <v>200599</v>
      </c>
      <c r="P27" s="234">
        <f t="shared" si="1"/>
        <v>0</v>
      </c>
      <c r="Q27" s="207">
        <f t="shared" si="2"/>
        <v>0</v>
      </c>
    </row>
    <row r="28" spans="1:17" s="22" customFormat="1" ht="19.5" customHeight="1">
      <c r="A28" s="203">
        <v>21</v>
      </c>
      <c r="B28" s="208" t="s">
        <v>529</v>
      </c>
      <c r="C28" s="342">
        <v>0</v>
      </c>
      <c r="D28" s="342">
        <v>0</v>
      </c>
      <c r="E28" s="204">
        <v>61070</v>
      </c>
      <c r="F28" s="204">
        <v>61070</v>
      </c>
      <c r="G28" s="204">
        <v>12016</v>
      </c>
      <c r="H28" s="204">
        <v>0</v>
      </c>
      <c r="I28" s="204">
        <v>0</v>
      </c>
      <c r="J28" s="204">
        <v>0</v>
      </c>
      <c r="K28" s="204">
        <v>0</v>
      </c>
      <c r="L28" s="204">
        <v>0</v>
      </c>
      <c r="M28" s="204">
        <v>0</v>
      </c>
      <c r="N28" s="204">
        <v>0</v>
      </c>
      <c r="O28" s="205">
        <f t="shared" si="0"/>
        <v>134156</v>
      </c>
      <c r="P28" s="234">
        <v>0</v>
      </c>
      <c r="Q28" s="207">
        <f>P28*1</f>
        <v>0</v>
      </c>
    </row>
    <row r="29" spans="1:17" s="22" customFormat="1" ht="19.5" customHeight="1">
      <c r="A29" s="203">
        <v>22</v>
      </c>
      <c r="B29" s="208" t="s">
        <v>530</v>
      </c>
      <c r="C29" s="342">
        <v>0</v>
      </c>
      <c r="D29" s="342">
        <v>0</v>
      </c>
      <c r="E29" s="204">
        <v>133306</v>
      </c>
      <c r="F29" s="204">
        <v>159968</v>
      </c>
      <c r="G29" s="204">
        <v>47599</v>
      </c>
      <c r="H29" s="204">
        <v>0</v>
      </c>
      <c r="I29" s="204">
        <v>0</v>
      </c>
      <c r="J29" s="204">
        <v>0</v>
      </c>
      <c r="K29" s="204">
        <v>0</v>
      </c>
      <c r="L29" s="204">
        <v>0</v>
      </c>
      <c r="M29" s="204">
        <v>0</v>
      </c>
      <c r="N29" s="204">
        <v>0</v>
      </c>
      <c r="O29" s="205">
        <f aca="true" t="shared" si="3" ref="O29:O41">SUM(C29:N29)</f>
        <v>340873</v>
      </c>
      <c r="P29" s="206">
        <f aca="true" t="shared" si="4" ref="P29:P41">N29</f>
        <v>0</v>
      </c>
      <c r="Q29" s="207">
        <f t="shared" si="2"/>
        <v>0</v>
      </c>
    </row>
    <row r="30" spans="1:17" s="22" customFormat="1" ht="19.5" customHeight="1">
      <c r="A30" s="203">
        <v>23</v>
      </c>
      <c r="B30" s="208" t="s">
        <v>531</v>
      </c>
      <c r="C30" s="342">
        <v>0</v>
      </c>
      <c r="D30" s="342">
        <v>0</v>
      </c>
      <c r="E30" s="204">
        <v>60150</v>
      </c>
      <c r="F30" s="204">
        <v>72781</v>
      </c>
      <c r="G30" s="204">
        <v>74932</v>
      </c>
      <c r="H30" s="204">
        <v>74932</v>
      </c>
      <c r="I30" s="204">
        <v>74932</v>
      </c>
      <c r="J30" s="204">
        <v>0</v>
      </c>
      <c r="K30" s="204">
        <v>0</v>
      </c>
      <c r="L30" s="204">
        <v>0</v>
      </c>
      <c r="M30" s="204">
        <v>0</v>
      </c>
      <c r="N30" s="204">
        <v>0</v>
      </c>
      <c r="O30" s="205">
        <f t="shared" si="3"/>
        <v>357727</v>
      </c>
      <c r="P30" s="206">
        <f t="shared" si="4"/>
        <v>0</v>
      </c>
      <c r="Q30" s="207">
        <f t="shared" si="2"/>
        <v>0</v>
      </c>
    </row>
    <row r="31" spans="1:17" s="232" customFormat="1" ht="19.5" customHeight="1">
      <c r="A31" s="203">
        <v>24</v>
      </c>
      <c r="B31" s="208" t="s">
        <v>532</v>
      </c>
      <c r="C31" s="342">
        <v>0</v>
      </c>
      <c r="D31" s="342">
        <v>0</v>
      </c>
      <c r="E31" s="204">
        <v>33932</v>
      </c>
      <c r="F31" s="204">
        <v>10624</v>
      </c>
      <c r="G31" s="204">
        <v>0</v>
      </c>
      <c r="H31" s="204">
        <v>0</v>
      </c>
      <c r="I31" s="204">
        <v>0</v>
      </c>
      <c r="J31" s="204">
        <v>0</v>
      </c>
      <c r="K31" s="204">
        <v>0</v>
      </c>
      <c r="L31" s="204">
        <v>0</v>
      </c>
      <c r="M31" s="204">
        <v>0</v>
      </c>
      <c r="N31" s="204">
        <v>0</v>
      </c>
      <c r="O31" s="205">
        <f t="shared" si="3"/>
        <v>44556</v>
      </c>
      <c r="P31" s="206">
        <v>0</v>
      </c>
      <c r="Q31" s="207">
        <f t="shared" si="2"/>
        <v>0</v>
      </c>
    </row>
    <row r="32" spans="1:17" s="232" customFormat="1" ht="19.5" customHeight="1">
      <c r="A32" s="203">
        <v>25</v>
      </c>
      <c r="B32" s="208" t="s">
        <v>533</v>
      </c>
      <c r="C32" s="342">
        <v>0</v>
      </c>
      <c r="D32" s="342">
        <v>0</v>
      </c>
      <c r="E32" s="204">
        <v>32932</v>
      </c>
      <c r="F32" s="204">
        <v>10624</v>
      </c>
      <c r="G32" s="204">
        <v>0</v>
      </c>
      <c r="H32" s="204">
        <v>0</v>
      </c>
      <c r="I32" s="204">
        <v>0</v>
      </c>
      <c r="J32" s="204">
        <v>0</v>
      </c>
      <c r="K32" s="204">
        <v>0</v>
      </c>
      <c r="L32" s="204">
        <v>0</v>
      </c>
      <c r="M32" s="204">
        <v>0</v>
      </c>
      <c r="N32" s="204">
        <v>0</v>
      </c>
      <c r="O32" s="205">
        <f t="shared" si="3"/>
        <v>43556</v>
      </c>
      <c r="P32" s="206">
        <f t="shared" si="4"/>
        <v>0</v>
      </c>
      <c r="Q32" s="207">
        <f t="shared" si="2"/>
        <v>0</v>
      </c>
    </row>
    <row r="33" spans="1:17" s="232" customFormat="1" ht="19.5" customHeight="1">
      <c r="A33" s="203">
        <v>26</v>
      </c>
      <c r="B33" s="209" t="s">
        <v>214</v>
      </c>
      <c r="C33" s="342">
        <v>19373</v>
      </c>
      <c r="D33" s="342">
        <v>19373</v>
      </c>
      <c r="E33" s="204">
        <v>19373</v>
      </c>
      <c r="F33" s="204">
        <v>19969</v>
      </c>
      <c r="G33" s="204">
        <v>19969</v>
      </c>
      <c r="H33" s="204">
        <v>19969</v>
      </c>
      <c r="I33" s="204">
        <v>19969</v>
      </c>
      <c r="J33" s="204">
        <v>19969</v>
      </c>
      <c r="K33" s="204">
        <v>19969</v>
      </c>
      <c r="L33" s="204">
        <v>19969</v>
      </c>
      <c r="M33" s="204">
        <v>19969</v>
      </c>
      <c r="N33" s="204">
        <v>19969</v>
      </c>
      <c r="O33" s="205">
        <f t="shared" si="3"/>
        <v>237840</v>
      </c>
      <c r="P33" s="206">
        <f t="shared" si="4"/>
        <v>19969</v>
      </c>
      <c r="Q33" s="207">
        <f t="shared" si="2"/>
        <v>239628</v>
      </c>
    </row>
    <row r="34" spans="1:17" s="232" customFormat="1" ht="19.5" customHeight="1">
      <c r="A34" s="203">
        <v>27</v>
      </c>
      <c r="B34" s="208" t="s">
        <v>158</v>
      </c>
      <c r="C34" s="342">
        <v>18397</v>
      </c>
      <c r="D34" s="342">
        <v>18397</v>
      </c>
      <c r="E34" s="204">
        <v>18397</v>
      </c>
      <c r="F34" s="204">
        <v>18946</v>
      </c>
      <c r="G34" s="204">
        <v>18946</v>
      </c>
      <c r="H34" s="204">
        <v>18946</v>
      </c>
      <c r="I34" s="204">
        <v>18946</v>
      </c>
      <c r="J34" s="204">
        <v>18946</v>
      </c>
      <c r="K34" s="204">
        <v>18946</v>
      </c>
      <c r="L34" s="204">
        <v>18946</v>
      </c>
      <c r="M34" s="204">
        <v>18946</v>
      </c>
      <c r="N34" s="204">
        <v>18946</v>
      </c>
      <c r="O34" s="205">
        <f t="shared" si="3"/>
        <v>225705</v>
      </c>
      <c r="P34" s="206">
        <v>0</v>
      </c>
      <c r="Q34" s="207">
        <f t="shared" si="2"/>
        <v>0</v>
      </c>
    </row>
    <row r="35" spans="1:17" s="22" customFormat="1" ht="19.5" customHeight="1">
      <c r="A35" s="203">
        <v>28</v>
      </c>
      <c r="B35" s="208" t="s">
        <v>215</v>
      </c>
      <c r="C35" s="342">
        <v>35939</v>
      </c>
      <c r="D35" s="342">
        <v>35939</v>
      </c>
      <c r="E35" s="204">
        <v>35939</v>
      </c>
      <c r="F35" s="204">
        <v>37015</v>
      </c>
      <c r="G35" s="204">
        <v>37015</v>
      </c>
      <c r="H35" s="204">
        <v>37015</v>
      </c>
      <c r="I35" s="204">
        <v>37015</v>
      </c>
      <c r="J35" s="204">
        <v>37015</v>
      </c>
      <c r="K35" s="204">
        <v>37015</v>
      </c>
      <c r="L35" s="204">
        <v>37015</v>
      </c>
      <c r="M35" s="204">
        <v>37015</v>
      </c>
      <c r="N35" s="204">
        <v>37015</v>
      </c>
      <c r="O35" s="205">
        <f t="shared" si="3"/>
        <v>440952</v>
      </c>
      <c r="P35" s="206">
        <f t="shared" si="4"/>
        <v>37015</v>
      </c>
      <c r="Q35" s="207">
        <f t="shared" si="2"/>
        <v>444180</v>
      </c>
    </row>
    <row r="36" spans="1:17" s="22" customFormat="1" ht="19.5" customHeight="1">
      <c r="A36" s="203">
        <v>29</v>
      </c>
      <c r="B36" s="208" t="s">
        <v>406</v>
      </c>
      <c r="C36" s="342">
        <v>13719</v>
      </c>
      <c r="D36" s="342">
        <v>13719</v>
      </c>
      <c r="E36" s="204">
        <v>13719</v>
      </c>
      <c r="F36" s="204">
        <v>13693</v>
      </c>
      <c r="G36" s="204">
        <v>14149</v>
      </c>
      <c r="H36" s="204">
        <v>14149</v>
      </c>
      <c r="I36" s="204">
        <v>14149</v>
      </c>
      <c r="J36" s="204">
        <v>14149</v>
      </c>
      <c r="K36" s="204">
        <v>14149</v>
      </c>
      <c r="L36" s="204">
        <v>13693</v>
      </c>
      <c r="M36" s="204">
        <v>14149</v>
      </c>
      <c r="N36" s="204">
        <v>14149</v>
      </c>
      <c r="O36" s="205">
        <f t="shared" si="3"/>
        <v>167586</v>
      </c>
      <c r="P36" s="206">
        <f t="shared" si="4"/>
        <v>14149</v>
      </c>
      <c r="Q36" s="207">
        <f t="shared" si="2"/>
        <v>169788</v>
      </c>
    </row>
    <row r="37" spans="1:17" s="22" customFormat="1" ht="19.5" customHeight="1">
      <c r="A37" s="203">
        <v>30</v>
      </c>
      <c r="B37" s="208" t="s">
        <v>216</v>
      </c>
      <c r="C37" s="342">
        <v>25352</v>
      </c>
      <c r="D37" s="342">
        <v>25352</v>
      </c>
      <c r="E37" s="204">
        <v>22817</v>
      </c>
      <c r="F37" s="204">
        <v>0</v>
      </c>
      <c r="G37" s="204">
        <v>0</v>
      </c>
      <c r="H37" s="204">
        <v>0</v>
      </c>
      <c r="I37" s="204">
        <v>0</v>
      </c>
      <c r="J37" s="204">
        <v>0</v>
      </c>
      <c r="K37" s="204">
        <v>0</v>
      </c>
      <c r="L37" s="204">
        <v>0</v>
      </c>
      <c r="M37" s="204">
        <v>0</v>
      </c>
      <c r="N37" s="204">
        <v>0</v>
      </c>
      <c r="O37" s="205">
        <f t="shared" si="3"/>
        <v>73521</v>
      </c>
      <c r="P37" s="206">
        <f t="shared" si="4"/>
        <v>0</v>
      </c>
      <c r="Q37" s="207">
        <f t="shared" si="2"/>
        <v>0</v>
      </c>
    </row>
    <row r="38" spans="1:17" s="22" customFormat="1" ht="19.5" customHeight="1">
      <c r="A38" s="203">
        <v>31</v>
      </c>
      <c r="B38" s="208" t="s">
        <v>159</v>
      </c>
      <c r="C38" s="342">
        <v>20015</v>
      </c>
      <c r="D38" s="342">
        <v>20015</v>
      </c>
      <c r="E38" s="204">
        <v>20015</v>
      </c>
      <c r="F38" s="204">
        <v>20015</v>
      </c>
      <c r="G38" s="204">
        <v>20015</v>
      </c>
      <c r="H38" s="204">
        <v>20015</v>
      </c>
      <c r="I38" s="204">
        <v>20015</v>
      </c>
      <c r="J38" s="204">
        <v>20015</v>
      </c>
      <c r="K38" s="204">
        <v>20015</v>
      </c>
      <c r="L38" s="204">
        <v>20015</v>
      </c>
      <c r="M38" s="204">
        <v>20015</v>
      </c>
      <c r="N38" s="204">
        <v>20015</v>
      </c>
      <c r="O38" s="205">
        <f t="shared" si="3"/>
        <v>240180</v>
      </c>
      <c r="P38" s="206">
        <f t="shared" si="4"/>
        <v>20015</v>
      </c>
      <c r="Q38" s="207">
        <f t="shared" si="2"/>
        <v>240180</v>
      </c>
    </row>
    <row r="39" spans="1:17" s="22" customFormat="1" ht="19.5" customHeight="1">
      <c r="A39" s="203">
        <v>32</v>
      </c>
      <c r="B39" s="208" t="s">
        <v>160</v>
      </c>
      <c r="C39" s="342">
        <v>17871</v>
      </c>
      <c r="D39" s="342">
        <v>17871</v>
      </c>
      <c r="E39" s="204">
        <v>17871</v>
      </c>
      <c r="F39" s="204">
        <v>18397</v>
      </c>
      <c r="G39" s="204">
        <v>18397</v>
      </c>
      <c r="H39" s="204">
        <v>18397</v>
      </c>
      <c r="I39" s="204">
        <v>17804</v>
      </c>
      <c r="J39" s="204">
        <v>18990</v>
      </c>
      <c r="K39" s="204">
        <v>18397</v>
      </c>
      <c r="L39" s="204">
        <v>18397</v>
      </c>
      <c r="M39" s="204">
        <v>18397</v>
      </c>
      <c r="N39" s="204">
        <v>18397</v>
      </c>
      <c r="O39" s="205">
        <f t="shared" si="3"/>
        <v>219186</v>
      </c>
      <c r="P39" s="206">
        <f t="shared" si="4"/>
        <v>18397</v>
      </c>
      <c r="Q39" s="207">
        <f t="shared" si="2"/>
        <v>220764</v>
      </c>
    </row>
    <row r="40" spans="1:17" s="22" customFormat="1" ht="19.5" customHeight="1">
      <c r="A40" s="203">
        <v>33</v>
      </c>
      <c r="B40" s="209" t="s">
        <v>270</v>
      </c>
      <c r="C40" s="342">
        <v>14979</v>
      </c>
      <c r="D40" s="342">
        <v>14979</v>
      </c>
      <c r="E40" s="204">
        <v>14979</v>
      </c>
      <c r="F40" s="204">
        <v>15433</v>
      </c>
      <c r="G40" s="204">
        <v>15433</v>
      </c>
      <c r="H40" s="204">
        <v>7718</v>
      </c>
      <c r="I40" s="204">
        <v>15433</v>
      </c>
      <c r="J40" s="204">
        <v>15433</v>
      </c>
      <c r="K40" s="204">
        <v>15433</v>
      </c>
      <c r="L40" s="204">
        <v>15433</v>
      </c>
      <c r="M40" s="204">
        <v>15433</v>
      </c>
      <c r="N40" s="204">
        <v>15433</v>
      </c>
      <c r="O40" s="205">
        <f t="shared" si="3"/>
        <v>176119</v>
      </c>
      <c r="P40" s="206">
        <f t="shared" si="4"/>
        <v>15433</v>
      </c>
      <c r="Q40" s="207">
        <f t="shared" si="2"/>
        <v>185196</v>
      </c>
    </row>
    <row r="41" spans="1:17" s="22" customFormat="1" ht="19.5" customHeight="1">
      <c r="A41" s="203">
        <v>34</v>
      </c>
      <c r="B41" s="208" t="s">
        <v>161</v>
      </c>
      <c r="C41" s="342">
        <v>24611</v>
      </c>
      <c r="D41" s="342">
        <v>24611</v>
      </c>
      <c r="E41" s="204">
        <v>24611</v>
      </c>
      <c r="F41" s="204">
        <v>25352</v>
      </c>
      <c r="G41" s="204">
        <v>25352</v>
      </c>
      <c r="H41" s="204">
        <v>28868</v>
      </c>
      <c r="I41" s="204">
        <v>25352</v>
      </c>
      <c r="J41" s="204">
        <v>5916</v>
      </c>
      <c r="K41" s="204">
        <v>21265</v>
      </c>
      <c r="L41" s="204">
        <v>44788</v>
      </c>
      <c r="M41" s="204">
        <v>18109</v>
      </c>
      <c r="N41" s="204">
        <v>18109</v>
      </c>
      <c r="O41" s="205">
        <f t="shared" si="3"/>
        <v>286944</v>
      </c>
      <c r="P41" s="206">
        <f t="shared" si="4"/>
        <v>18109</v>
      </c>
      <c r="Q41" s="207">
        <f t="shared" si="2"/>
        <v>217308</v>
      </c>
    </row>
    <row r="42" spans="1:17" s="22" customFormat="1" ht="19.5" customHeight="1">
      <c r="A42" s="203">
        <v>35</v>
      </c>
      <c r="B42" s="208" t="s">
        <v>162</v>
      </c>
      <c r="C42" s="342">
        <v>17871</v>
      </c>
      <c r="D42" s="342">
        <v>17871</v>
      </c>
      <c r="E42" s="204">
        <v>17871</v>
      </c>
      <c r="F42" s="204">
        <v>18397</v>
      </c>
      <c r="G42" s="204">
        <v>16615</v>
      </c>
      <c r="H42" s="204">
        <v>18397</v>
      </c>
      <c r="I42" s="204">
        <v>18397</v>
      </c>
      <c r="J42" s="204">
        <v>18397</v>
      </c>
      <c r="K42" s="204">
        <v>18397</v>
      </c>
      <c r="L42" s="204">
        <v>18397</v>
      </c>
      <c r="M42" s="204">
        <v>18397</v>
      </c>
      <c r="N42" s="204">
        <v>18397</v>
      </c>
      <c r="O42" s="205">
        <f t="shared" si="0"/>
        <v>217404</v>
      </c>
      <c r="P42" s="234">
        <f aca="true" t="shared" si="5" ref="P42:P54">N42+(N42*7%)</f>
        <v>19684.79</v>
      </c>
      <c r="Q42" s="207">
        <f t="shared" si="2"/>
        <v>236217.48</v>
      </c>
    </row>
    <row r="43" spans="1:17" s="22" customFormat="1" ht="19.5" customHeight="1">
      <c r="A43" s="203">
        <v>36</v>
      </c>
      <c r="B43" s="209" t="s">
        <v>217</v>
      </c>
      <c r="C43" s="342">
        <v>15033</v>
      </c>
      <c r="D43" s="342">
        <v>15033</v>
      </c>
      <c r="E43" s="204">
        <v>15033</v>
      </c>
      <c r="F43" s="204">
        <v>15487</v>
      </c>
      <c r="G43" s="204">
        <v>15487</v>
      </c>
      <c r="H43" s="204">
        <v>15487</v>
      </c>
      <c r="I43" s="204">
        <v>15487</v>
      </c>
      <c r="J43" s="204">
        <v>15487</v>
      </c>
      <c r="K43" s="204">
        <v>15487</v>
      </c>
      <c r="L43" s="204">
        <v>15487</v>
      </c>
      <c r="M43" s="204">
        <v>15487</v>
      </c>
      <c r="N43" s="204">
        <v>15487</v>
      </c>
      <c r="O43" s="205">
        <f t="shared" si="0"/>
        <v>184482</v>
      </c>
      <c r="P43" s="234">
        <f t="shared" si="5"/>
        <v>16571.09</v>
      </c>
      <c r="Q43" s="207">
        <f t="shared" si="2"/>
        <v>198853.08000000002</v>
      </c>
    </row>
    <row r="44" spans="1:17" s="22" customFormat="1" ht="19.5" customHeight="1">
      <c r="A44" s="203">
        <v>37</v>
      </c>
      <c r="B44" s="208" t="s">
        <v>218</v>
      </c>
      <c r="C44" s="342">
        <v>16843</v>
      </c>
      <c r="D44" s="342">
        <v>16300</v>
      </c>
      <c r="E44" s="204">
        <v>16843</v>
      </c>
      <c r="F44" s="204">
        <v>18432</v>
      </c>
      <c r="G44" s="204">
        <v>17345</v>
      </c>
      <c r="H44" s="204">
        <v>17345</v>
      </c>
      <c r="I44" s="204">
        <v>17345</v>
      </c>
      <c r="J44" s="204">
        <v>17345</v>
      </c>
      <c r="K44" s="204">
        <v>17345</v>
      </c>
      <c r="L44" s="204">
        <v>17345</v>
      </c>
      <c r="M44" s="204">
        <v>17345</v>
      </c>
      <c r="N44" s="204">
        <v>17345</v>
      </c>
      <c r="O44" s="205">
        <f t="shared" si="0"/>
        <v>207178</v>
      </c>
      <c r="P44" s="234">
        <f t="shared" si="5"/>
        <v>18559.15</v>
      </c>
      <c r="Q44" s="207">
        <f t="shared" si="2"/>
        <v>222709.80000000002</v>
      </c>
    </row>
    <row r="45" spans="1:17" s="22" customFormat="1" ht="19.5" customHeight="1">
      <c r="A45" s="203">
        <v>38</v>
      </c>
      <c r="B45" s="208" t="s">
        <v>219</v>
      </c>
      <c r="C45" s="342">
        <v>19923</v>
      </c>
      <c r="D45" s="342">
        <v>19280</v>
      </c>
      <c r="E45" s="204">
        <v>13946</v>
      </c>
      <c r="F45" s="204">
        <v>15495</v>
      </c>
      <c r="G45" s="204">
        <v>16786</v>
      </c>
      <c r="H45" s="204">
        <v>18680</v>
      </c>
      <c r="I45" s="204">
        <v>20015</v>
      </c>
      <c r="J45" s="204">
        <v>18680</v>
      </c>
      <c r="K45" s="204">
        <v>17431</v>
      </c>
      <c r="L45" s="204">
        <v>17431</v>
      </c>
      <c r="M45" s="204">
        <v>20015</v>
      </c>
      <c r="N45" s="204">
        <v>20015</v>
      </c>
      <c r="O45" s="205">
        <f t="shared" si="0"/>
        <v>217697</v>
      </c>
      <c r="P45" s="234">
        <f t="shared" si="5"/>
        <v>21416.05</v>
      </c>
      <c r="Q45" s="207">
        <f t="shared" si="2"/>
        <v>256992.59999999998</v>
      </c>
    </row>
    <row r="46" spans="1:17" s="22" customFormat="1" ht="19.5" customHeight="1">
      <c r="A46" s="203">
        <v>39</v>
      </c>
      <c r="B46" s="208" t="s">
        <v>167</v>
      </c>
      <c r="C46" s="342">
        <v>22131</v>
      </c>
      <c r="D46" s="342">
        <v>22131</v>
      </c>
      <c r="E46" s="204">
        <v>18444</v>
      </c>
      <c r="F46" s="204">
        <v>22801</v>
      </c>
      <c r="G46" s="204">
        <v>22801</v>
      </c>
      <c r="H46" s="204">
        <v>22801</v>
      </c>
      <c r="I46" s="204">
        <v>22801</v>
      </c>
      <c r="J46" s="204">
        <v>22801</v>
      </c>
      <c r="K46" s="204">
        <v>22801</v>
      </c>
      <c r="L46" s="204">
        <v>22801</v>
      </c>
      <c r="M46" s="204">
        <v>22801</v>
      </c>
      <c r="N46" s="204">
        <v>22801</v>
      </c>
      <c r="O46" s="205">
        <f t="shared" si="0"/>
        <v>267915</v>
      </c>
      <c r="P46" s="234">
        <f t="shared" si="5"/>
        <v>24397.07</v>
      </c>
      <c r="Q46" s="207">
        <f t="shared" si="2"/>
        <v>292764.83999999997</v>
      </c>
    </row>
    <row r="47" spans="1:17" s="22" customFormat="1" ht="19.5" customHeight="1">
      <c r="A47" s="203">
        <v>40</v>
      </c>
      <c r="B47" s="208" t="s">
        <v>163</v>
      </c>
      <c r="C47" s="342">
        <v>35083</v>
      </c>
      <c r="D47" s="342">
        <v>35083</v>
      </c>
      <c r="E47" s="204">
        <v>35083</v>
      </c>
      <c r="F47" s="204">
        <v>36136</v>
      </c>
      <c r="G47" s="204">
        <v>36136</v>
      </c>
      <c r="H47" s="204">
        <v>36136</v>
      </c>
      <c r="I47" s="204">
        <v>36136</v>
      </c>
      <c r="J47" s="204">
        <v>36136</v>
      </c>
      <c r="K47" s="204">
        <v>36136</v>
      </c>
      <c r="L47" s="204">
        <v>36136</v>
      </c>
      <c r="M47" s="204">
        <v>36136</v>
      </c>
      <c r="N47" s="204">
        <v>36136</v>
      </c>
      <c r="O47" s="205">
        <f t="shared" si="0"/>
        <v>430473</v>
      </c>
      <c r="P47" s="234">
        <f t="shared" si="5"/>
        <v>38665.520000000004</v>
      </c>
      <c r="Q47" s="207">
        <f t="shared" si="2"/>
        <v>463986.24000000005</v>
      </c>
    </row>
    <row r="48" spans="1:17" s="22" customFormat="1" ht="19.5" customHeight="1">
      <c r="A48" s="203">
        <v>41</v>
      </c>
      <c r="B48" s="208" t="s">
        <v>534</v>
      </c>
      <c r="C48" s="342">
        <v>0</v>
      </c>
      <c r="D48" s="342">
        <v>0</v>
      </c>
      <c r="E48" s="204">
        <v>0</v>
      </c>
      <c r="F48" s="204">
        <v>11554</v>
      </c>
      <c r="G48" s="204">
        <v>25579</v>
      </c>
      <c r="H48" s="204">
        <v>25579</v>
      </c>
      <c r="I48" s="204">
        <v>25579</v>
      </c>
      <c r="J48" s="204">
        <v>25729</v>
      </c>
      <c r="K48" s="204">
        <v>25579</v>
      </c>
      <c r="L48" s="204">
        <v>25579</v>
      </c>
      <c r="M48" s="204">
        <v>25579</v>
      </c>
      <c r="N48" s="204">
        <v>25579</v>
      </c>
      <c r="O48" s="205">
        <f t="shared" si="0"/>
        <v>216336</v>
      </c>
      <c r="P48" s="234">
        <f t="shared" si="5"/>
        <v>27369.53</v>
      </c>
      <c r="Q48" s="207">
        <f t="shared" si="2"/>
        <v>328434.36</v>
      </c>
    </row>
    <row r="49" spans="1:17" s="22" customFormat="1" ht="19.5" customHeight="1">
      <c r="A49" s="203">
        <v>42</v>
      </c>
      <c r="B49" s="208" t="s">
        <v>220</v>
      </c>
      <c r="C49" s="342">
        <v>17871</v>
      </c>
      <c r="D49" s="342">
        <v>17871</v>
      </c>
      <c r="E49" s="204">
        <v>17871</v>
      </c>
      <c r="F49" s="204">
        <v>18397</v>
      </c>
      <c r="G49" s="204">
        <v>18397</v>
      </c>
      <c r="H49" s="204">
        <v>18397</v>
      </c>
      <c r="I49" s="204">
        <v>18397</v>
      </c>
      <c r="J49" s="204">
        <v>18397</v>
      </c>
      <c r="K49" s="204">
        <v>18397</v>
      </c>
      <c r="L49" s="204">
        <v>18397</v>
      </c>
      <c r="M49" s="204">
        <v>18397</v>
      </c>
      <c r="N49" s="204">
        <v>18397</v>
      </c>
      <c r="O49" s="205">
        <f t="shared" si="0"/>
        <v>219186</v>
      </c>
      <c r="P49" s="234">
        <f t="shared" si="5"/>
        <v>19684.79</v>
      </c>
      <c r="Q49" s="207">
        <f t="shared" si="2"/>
        <v>236217.48</v>
      </c>
    </row>
    <row r="50" spans="1:17" s="22" customFormat="1" ht="19.5" customHeight="1">
      <c r="A50" s="203">
        <v>43</v>
      </c>
      <c r="B50" s="208" t="s">
        <v>535</v>
      </c>
      <c r="C50" s="342">
        <v>19622</v>
      </c>
      <c r="D50" s="342">
        <v>19622</v>
      </c>
      <c r="E50" s="204">
        <v>19622</v>
      </c>
      <c r="F50" s="204">
        <v>20219</v>
      </c>
      <c r="G50" s="204">
        <v>20219</v>
      </c>
      <c r="H50" s="204">
        <v>20219</v>
      </c>
      <c r="I50" s="204">
        <v>20219</v>
      </c>
      <c r="J50" s="204">
        <v>20219</v>
      </c>
      <c r="K50" s="204">
        <v>20219</v>
      </c>
      <c r="L50" s="204">
        <v>20219</v>
      </c>
      <c r="M50" s="204">
        <v>20219</v>
      </c>
      <c r="N50" s="204">
        <v>20219</v>
      </c>
      <c r="O50" s="205">
        <f t="shared" si="0"/>
        <v>240837</v>
      </c>
      <c r="P50" s="234">
        <f t="shared" si="5"/>
        <v>21634.33</v>
      </c>
      <c r="Q50" s="207">
        <f t="shared" si="2"/>
        <v>259611.96000000002</v>
      </c>
    </row>
    <row r="51" spans="1:17" s="22" customFormat="1" ht="19.5" customHeight="1">
      <c r="A51" s="203">
        <v>44</v>
      </c>
      <c r="B51" s="208" t="s">
        <v>164</v>
      </c>
      <c r="C51" s="342">
        <v>22511</v>
      </c>
      <c r="D51" s="342">
        <v>22511</v>
      </c>
      <c r="E51" s="204">
        <v>22511</v>
      </c>
      <c r="F51" s="204">
        <v>23948</v>
      </c>
      <c r="G51" s="204">
        <v>23198</v>
      </c>
      <c r="H51" s="204">
        <v>23198</v>
      </c>
      <c r="I51" s="204">
        <v>23198</v>
      </c>
      <c r="J51" s="204">
        <v>23198</v>
      </c>
      <c r="K51" s="204">
        <v>23198</v>
      </c>
      <c r="L51" s="204">
        <v>23198</v>
      </c>
      <c r="M51" s="204">
        <v>23198</v>
      </c>
      <c r="N51" s="204">
        <v>23198</v>
      </c>
      <c r="O51" s="205">
        <f t="shared" si="0"/>
        <v>277065</v>
      </c>
      <c r="P51" s="234">
        <f t="shared" si="5"/>
        <v>24821.86</v>
      </c>
      <c r="Q51" s="207">
        <f t="shared" si="2"/>
        <v>297862.32</v>
      </c>
    </row>
    <row r="52" spans="1:17" s="22" customFormat="1" ht="19.5" customHeight="1">
      <c r="A52" s="203">
        <v>45</v>
      </c>
      <c r="B52" s="208" t="s">
        <v>165</v>
      </c>
      <c r="C52" s="342">
        <v>26116</v>
      </c>
      <c r="D52" s="342">
        <v>26116</v>
      </c>
      <c r="E52" s="204">
        <v>26116</v>
      </c>
      <c r="F52" s="204">
        <v>26905</v>
      </c>
      <c r="G52" s="204">
        <v>26905</v>
      </c>
      <c r="H52" s="204">
        <v>26905</v>
      </c>
      <c r="I52" s="204">
        <v>26905</v>
      </c>
      <c r="J52" s="204">
        <v>26905</v>
      </c>
      <c r="K52" s="204">
        <v>26905</v>
      </c>
      <c r="L52" s="204">
        <v>26905</v>
      </c>
      <c r="M52" s="204">
        <v>26905</v>
      </c>
      <c r="N52" s="204">
        <v>26905</v>
      </c>
      <c r="O52" s="205">
        <f t="shared" si="0"/>
        <v>320493</v>
      </c>
      <c r="P52" s="234">
        <f t="shared" si="5"/>
        <v>28788.35</v>
      </c>
      <c r="Q52" s="207">
        <f t="shared" si="2"/>
        <v>345460.19999999995</v>
      </c>
    </row>
    <row r="53" spans="1:17" s="22" customFormat="1" ht="19.5" customHeight="1">
      <c r="A53" s="203">
        <v>46</v>
      </c>
      <c r="B53" s="208" t="s">
        <v>221</v>
      </c>
      <c r="C53" s="342">
        <v>19923</v>
      </c>
      <c r="D53" s="342">
        <v>19923</v>
      </c>
      <c r="E53" s="204">
        <v>19923</v>
      </c>
      <c r="F53" s="204">
        <v>20015</v>
      </c>
      <c r="G53" s="204">
        <v>20015</v>
      </c>
      <c r="H53" s="204">
        <v>20015</v>
      </c>
      <c r="I53" s="204">
        <v>20015</v>
      </c>
      <c r="J53" s="204">
        <v>20015</v>
      </c>
      <c r="K53" s="204">
        <v>20015</v>
      </c>
      <c r="L53" s="204">
        <v>20015</v>
      </c>
      <c r="M53" s="204">
        <v>20015</v>
      </c>
      <c r="N53" s="204">
        <v>20015</v>
      </c>
      <c r="O53" s="205">
        <f t="shared" si="0"/>
        <v>239904</v>
      </c>
      <c r="P53" s="234">
        <f t="shared" si="5"/>
        <v>21416.05</v>
      </c>
      <c r="Q53" s="207">
        <f t="shared" si="2"/>
        <v>256992.59999999998</v>
      </c>
    </row>
    <row r="54" spans="1:17" s="22" customFormat="1" ht="19.5" customHeight="1">
      <c r="A54" s="203">
        <v>47</v>
      </c>
      <c r="B54" s="208" t="s">
        <v>166</v>
      </c>
      <c r="C54" s="342">
        <v>19923</v>
      </c>
      <c r="D54" s="342">
        <v>19923</v>
      </c>
      <c r="E54" s="204">
        <v>19923</v>
      </c>
      <c r="F54" s="204">
        <v>20015</v>
      </c>
      <c r="G54" s="204">
        <v>17431</v>
      </c>
      <c r="H54" s="204">
        <v>20015</v>
      </c>
      <c r="I54" s="204">
        <v>20015</v>
      </c>
      <c r="J54" s="204">
        <v>20015</v>
      </c>
      <c r="K54" s="204">
        <v>20015</v>
      </c>
      <c r="L54" s="204">
        <v>20015</v>
      </c>
      <c r="M54" s="204">
        <v>20015</v>
      </c>
      <c r="N54" s="204">
        <v>20015</v>
      </c>
      <c r="O54" s="205">
        <f t="shared" si="0"/>
        <v>237320</v>
      </c>
      <c r="P54" s="234">
        <f t="shared" si="5"/>
        <v>21416.05</v>
      </c>
      <c r="Q54" s="207">
        <f t="shared" si="2"/>
        <v>256992.59999999998</v>
      </c>
    </row>
    <row r="55" spans="1:17" s="22" customFormat="1" ht="19.5" customHeight="1">
      <c r="A55" s="211"/>
      <c r="B55" s="212" t="s">
        <v>27</v>
      </c>
      <c r="C55" s="211">
        <f aca="true" t="shared" si="6" ref="C55:Q55">SUM(C8:C54)</f>
        <v>1934977</v>
      </c>
      <c r="D55" s="211">
        <f t="shared" si="6"/>
        <v>1933791</v>
      </c>
      <c r="E55" s="211">
        <f t="shared" si="6"/>
        <v>2395081</v>
      </c>
      <c r="F55" s="211">
        <f t="shared" si="6"/>
        <v>2242496</v>
      </c>
      <c r="G55" s="211">
        <f t="shared" si="6"/>
        <v>1960235</v>
      </c>
      <c r="H55" s="211">
        <f t="shared" si="6"/>
        <v>2029112</v>
      </c>
      <c r="I55" s="211">
        <f t="shared" si="6"/>
        <v>2089262</v>
      </c>
      <c r="J55" s="211">
        <f t="shared" si="6"/>
        <v>1994895</v>
      </c>
      <c r="K55" s="211">
        <f t="shared" si="6"/>
        <v>2115259</v>
      </c>
      <c r="L55" s="211">
        <f t="shared" si="6"/>
        <v>2046609</v>
      </c>
      <c r="M55" s="211">
        <f t="shared" si="6"/>
        <v>1860765</v>
      </c>
      <c r="N55" s="211">
        <f t="shared" si="6"/>
        <v>1843337</v>
      </c>
      <c r="O55" s="211">
        <f t="shared" si="6"/>
        <v>24445819</v>
      </c>
      <c r="P55" s="235">
        <f t="shared" si="6"/>
        <v>1942082.2800000007</v>
      </c>
      <c r="Q55" s="235">
        <f t="shared" si="6"/>
        <v>23304987.360000003</v>
      </c>
    </row>
    <row r="56" spans="1:17" s="22" customFormat="1" ht="19.5" customHeight="1">
      <c r="A56" s="205"/>
      <c r="B56" s="205" t="s">
        <v>168</v>
      </c>
      <c r="C56" s="214">
        <v>47966</v>
      </c>
      <c r="D56" s="214">
        <v>47916</v>
      </c>
      <c r="E56" s="214">
        <v>51367</v>
      </c>
      <c r="F56" s="214">
        <v>50031</v>
      </c>
      <c r="G56" s="214">
        <v>49900</v>
      </c>
      <c r="H56" s="214">
        <v>47286</v>
      </c>
      <c r="I56" s="214">
        <v>48112</v>
      </c>
      <c r="J56" s="214">
        <v>46953</v>
      </c>
      <c r="K56" s="214">
        <v>48112</v>
      </c>
      <c r="L56" s="214">
        <v>49221</v>
      </c>
      <c r="M56" s="214">
        <v>46312</v>
      </c>
      <c r="N56" s="214">
        <v>46312</v>
      </c>
      <c r="O56" s="214">
        <f>SUM(C56:N56)</f>
        <v>579488</v>
      </c>
      <c r="P56" s="214">
        <v>46312</v>
      </c>
      <c r="Q56" s="207">
        <f>P56*12</f>
        <v>555744</v>
      </c>
    </row>
    <row r="57" spans="1:17" s="22" customFormat="1" ht="19.5" customHeight="1">
      <c r="A57" s="205"/>
      <c r="B57" s="205" t="s">
        <v>169</v>
      </c>
      <c r="C57" s="215">
        <v>2019</v>
      </c>
      <c r="D57" s="215">
        <v>2016</v>
      </c>
      <c r="E57" s="215">
        <v>2162</v>
      </c>
      <c r="F57" s="215">
        <v>2105</v>
      </c>
      <c r="G57" s="215">
        <v>2100</v>
      </c>
      <c r="H57" s="215">
        <v>1990</v>
      </c>
      <c r="I57" s="215">
        <v>2025</v>
      </c>
      <c r="J57" s="215">
        <v>1976</v>
      </c>
      <c r="K57" s="215">
        <v>2025</v>
      </c>
      <c r="L57" s="215">
        <v>2071</v>
      </c>
      <c r="M57" s="215">
        <v>1949</v>
      </c>
      <c r="N57" s="215">
        <v>1949</v>
      </c>
      <c r="O57" s="214">
        <f>SUM(C57:N57)</f>
        <v>24387</v>
      </c>
      <c r="P57" s="214">
        <v>1949</v>
      </c>
      <c r="Q57" s="207">
        <f>P57*12</f>
        <v>23388</v>
      </c>
    </row>
    <row r="58" spans="1:17" s="22" customFormat="1" ht="19.5" customHeight="1">
      <c r="A58" s="205"/>
      <c r="B58" s="211" t="s">
        <v>170</v>
      </c>
      <c r="C58" s="216">
        <f>SUM(C55:C57)</f>
        <v>1984962</v>
      </c>
      <c r="D58" s="216">
        <f aca="true" t="shared" si="7" ref="D58:Q58">SUM(D55:D57)</f>
        <v>1983723</v>
      </c>
      <c r="E58" s="216">
        <f t="shared" si="7"/>
        <v>2448610</v>
      </c>
      <c r="F58" s="216">
        <f t="shared" si="7"/>
        <v>2294632</v>
      </c>
      <c r="G58" s="216">
        <f t="shared" si="7"/>
        <v>2012235</v>
      </c>
      <c r="H58" s="216">
        <f t="shared" si="7"/>
        <v>2078388</v>
      </c>
      <c r="I58" s="216">
        <f t="shared" si="7"/>
        <v>2139399</v>
      </c>
      <c r="J58" s="216">
        <f t="shared" si="7"/>
        <v>2043824</v>
      </c>
      <c r="K58" s="216">
        <f t="shared" si="7"/>
        <v>2165396</v>
      </c>
      <c r="L58" s="216">
        <f t="shared" si="7"/>
        <v>2097901</v>
      </c>
      <c r="M58" s="216">
        <f t="shared" si="7"/>
        <v>1909026</v>
      </c>
      <c r="N58" s="216">
        <f t="shared" si="7"/>
        <v>1891598</v>
      </c>
      <c r="O58" s="216">
        <f t="shared" si="7"/>
        <v>25049694</v>
      </c>
      <c r="P58" s="216">
        <f t="shared" si="7"/>
        <v>1990343.2800000007</v>
      </c>
      <c r="Q58" s="216">
        <f t="shared" si="7"/>
        <v>23884119.360000003</v>
      </c>
    </row>
    <row r="59" spans="1:17" s="22" customFormat="1" ht="15">
      <c r="A59" s="217"/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7"/>
      <c r="P59" s="218"/>
      <c r="Q59" s="218"/>
    </row>
    <row r="60" spans="1:17" s="22" customFormat="1" ht="15">
      <c r="A60" s="201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17"/>
      <c r="P60" s="210"/>
      <c r="Q60" s="218"/>
    </row>
    <row r="61" spans="1:17" s="22" customFormat="1" ht="15">
      <c r="A61" s="600" t="s">
        <v>271</v>
      </c>
      <c r="B61" s="600"/>
      <c r="C61" s="600"/>
      <c r="D61" s="600"/>
      <c r="E61" s="600"/>
      <c r="F61" s="600"/>
      <c r="G61" s="600"/>
      <c r="H61" s="600"/>
      <c r="I61" s="600"/>
      <c r="J61" s="600"/>
      <c r="K61" s="600"/>
      <c r="L61" s="600"/>
      <c r="M61" s="600"/>
      <c r="N61" s="600"/>
      <c r="O61" s="600"/>
      <c r="P61" s="600"/>
      <c r="Q61" s="600"/>
    </row>
    <row r="62" spans="1:17" s="22" customFormat="1" ht="15">
      <c r="A62" s="210"/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7"/>
      <c r="P62" s="210"/>
      <c r="Q62" s="213"/>
    </row>
    <row r="63" spans="1:17" s="22" customFormat="1" ht="15" customHeight="1">
      <c r="A63" s="605" t="s">
        <v>264</v>
      </c>
      <c r="B63" s="601" t="s">
        <v>265</v>
      </c>
      <c r="C63" s="606" t="s">
        <v>149</v>
      </c>
      <c r="D63" s="607"/>
      <c r="E63" s="607"/>
      <c r="F63" s="607"/>
      <c r="G63" s="607"/>
      <c r="H63" s="607"/>
      <c r="I63" s="607"/>
      <c r="J63" s="607"/>
      <c r="K63" s="607"/>
      <c r="L63" s="607"/>
      <c r="M63" s="607"/>
      <c r="N63" s="608"/>
      <c r="O63" s="595" t="s">
        <v>523</v>
      </c>
      <c r="P63" s="596" t="s">
        <v>383</v>
      </c>
      <c r="Q63" s="598" t="s">
        <v>522</v>
      </c>
    </row>
    <row r="64" spans="1:17" s="22" customFormat="1" ht="36.75" customHeight="1">
      <c r="A64" s="605"/>
      <c r="B64" s="601"/>
      <c r="C64" s="202">
        <v>43191</v>
      </c>
      <c r="D64" s="202">
        <v>43221</v>
      </c>
      <c r="E64" s="202">
        <v>43252</v>
      </c>
      <c r="F64" s="202">
        <v>43282</v>
      </c>
      <c r="G64" s="202">
        <v>43313</v>
      </c>
      <c r="H64" s="202">
        <v>43344</v>
      </c>
      <c r="I64" s="202">
        <v>43374</v>
      </c>
      <c r="J64" s="202">
        <v>43405</v>
      </c>
      <c r="K64" s="202">
        <v>43435</v>
      </c>
      <c r="L64" s="202">
        <v>43466</v>
      </c>
      <c r="M64" s="202">
        <v>43497</v>
      </c>
      <c r="N64" s="202">
        <v>43525</v>
      </c>
      <c r="O64" s="595"/>
      <c r="P64" s="597"/>
      <c r="Q64" s="599"/>
    </row>
    <row r="65" spans="1:17" s="22" customFormat="1" ht="19.5" customHeight="1">
      <c r="A65" s="219">
        <v>1</v>
      </c>
      <c r="B65" s="208" t="s">
        <v>183</v>
      </c>
      <c r="C65" s="342">
        <v>19259</v>
      </c>
      <c r="D65" s="342">
        <v>19280</v>
      </c>
      <c r="E65" s="204">
        <v>19923</v>
      </c>
      <c r="F65" s="204">
        <v>20015</v>
      </c>
      <c r="G65" s="204">
        <v>19369</v>
      </c>
      <c r="H65" s="204">
        <v>20015</v>
      </c>
      <c r="I65" s="204">
        <v>20015</v>
      </c>
      <c r="J65" s="204">
        <v>18680</v>
      </c>
      <c r="K65" s="204">
        <v>20015</v>
      </c>
      <c r="L65" s="204">
        <v>16140</v>
      </c>
      <c r="M65" s="204">
        <v>20015</v>
      </c>
      <c r="N65" s="204">
        <v>20015</v>
      </c>
      <c r="O65" s="205">
        <f>SUM(C65:N65)</f>
        <v>232741</v>
      </c>
      <c r="P65" s="234">
        <f aca="true" t="shared" si="8" ref="P65:P74">N65+(N65*7%)</f>
        <v>21416.05</v>
      </c>
      <c r="Q65" s="207">
        <f>P65*12</f>
        <v>256992.59999999998</v>
      </c>
    </row>
    <row r="66" spans="1:17" s="22" customFormat="1" ht="19.5" customHeight="1">
      <c r="A66" s="219">
        <v>2</v>
      </c>
      <c r="B66" s="208" t="s">
        <v>177</v>
      </c>
      <c r="C66" s="342">
        <v>19923</v>
      </c>
      <c r="D66" s="342">
        <v>19923</v>
      </c>
      <c r="E66" s="204">
        <v>19923</v>
      </c>
      <c r="F66" s="204">
        <v>20015</v>
      </c>
      <c r="G66" s="204">
        <v>20015</v>
      </c>
      <c r="H66" s="204">
        <v>20015</v>
      </c>
      <c r="I66" s="204">
        <v>20015</v>
      </c>
      <c r="J66" s="204">
        <v>20015</v>
      </c>
      <c r="K66" s="204">
        <v>20015</v>
      </c>
      <c r="L66" s="204">
        <v>20015</v>
      </c>
      <c r="M66" s="204">
        <v>20015</v>
      </c>
      <c r="N66" s="204">
        <v>20015</v>
      </c>
      <c r="O66" s="205">
        <f aca="true" t="shared" si="9" ref="O66:O95">SUM(C66:N66)</f>
        <v>239904</v>
      </c>
      <c r="P66" s="234">
        <f t="shared" si="8"/>
        <v>21416.05</v>
      </c>
      <c r="Q66" s="207">
        <f aca="true" t="shared" si="10" ref="Q66:Q95">P66*12</f>
        <v>256992.59999999998</v>
      </c>
    </row>
    <row r="67" spans="1:17" s="22" customFormat="1" ht="19.5" customHeight="1">
      <c r="A67" s="219">
        <v>3</v>
      </c>
      <c r="B67" s="208" t="s">
        <v>178</v>
      </c>
      <c r="C67" s="342">
        <v>19923</v>
      </c>
      <c r="D67" s="342">
        <v>19923</v>
      </c>
      <c r="E67" s="204">
        <v>19923</v>
      </c>
      <c r="F67" s="204">
        <v>20015</v>
      </c>
      <c r="G67" s="204">
        <v>20015</v>
      </c>
      <c r="H67" s="204">
        <v>20015</v>
      </c>
      <c r="I67" s="204">
        <v>19369</v>
      </c>
      <c r="J67" s="204">
        <v>20015</v>
      </c>
      <c r="K67" s="204">
        <v>20015</v>
      </c>
      <c r="L67" s="204">
        <v>18723</v>
      </c>
      <c r="M67" s="204">
        <v>19300</v>
      </c>
      <c r="N67" s="204">
        <v>19300</v>
      </c>
      <c r="O67" s="205">
        <f t="shared" si="9"/>
        <v>236536</v>
      </c>
      <c r="P67" s="234">
        <f t="shared" si="8"/>
        <v>20651</v>
      </c>
      <c r="Q67" s="207">
        <f t="shared" si="10"/>
        <v>247812</v>
      </c>
    </row>
    <row r="68" spans="1:17" s="22" customFormat="1" ht="19.5" customHeight="1">
      <c r="A68" s="219">
        <v>4</v>
      </c>
      <c r="B68" s="208" t="s">
        <v>179</v>
      </c>
      <c r="C68" s="342">
        <v>22511</v>
      </c>
      <c r="D68" s="342">
        <v>22511</v>
      </c>
      <c r="E68" s="204">
        <v>22511</v>
      </c>
      <c r="F68" s="204">
        <v>23198</v>
      </c>
      <c r="G68" s="204">
        <v>23198</v>
      </c>
      <c r="H68" s="204">
        <v>23198</v>
      </c>
      <c r="I68" s="204">
        <v>23198</v>
      </c>
      <c r="J68" s="204">
        <v>23198</v>
      </c>
      <c r="K68" s="204">
        <v>23198</v>
      </c>
      <c r="L68" s="204">
        <v>23198</v>
      </c>
      <c r="M68" s="204">
        <v>23198</v>
      </c>
      <c r="N68" s="204">
        <v>23198</v>
      </c>
      <c r="O68" s="205">
        <f t="shared" si="9"/>
        <v>276315</v>
      </c>
      <c r="P68" s="234">
        <f t="shared" si="8"/>
        <v>24821.86</v>
      </c>
      <c r="Q68" s="207">
        <f t="shared" si="10"/>
        <v>297862.32</v>
      </c>
    </row>
    <row r="69" spans="1:17" s="22" customFormat="1" ht="19.5" customHeight="1">
      <c r="A69" s="219">
        <v>5</v>
      </c>
      <c r="B69" s="208" t="s">
        <v>176</v>
      </c>
      <c r="C69" s="342">
        <v>24611</v>
      </c>
      <c r="D69" s="342">
        <v>24611</v>
      </c>
      <c r="E69" s="204">
        <v>24611</v>
      </c>
      <c r="F69" s="204">
        <v>25352</v>
      </c>
      <c r="G69" s="204">
        <v>25352</v>
      </c>
      <c r="H69" s="204">
        <v>25352</v>
      </c>
      <c r="I69" s="204">
        <v>25352</v>
      </c>
      <c r="J69" s="204">
        <v>25352</v>
      </c>
      <c r="K69" s="204">
        <v>25352</v>
      </c>
      <c r="L69" s="204">
        <v>25352</v>
      </c>
      <c r="M69" s="204">
        <v>25352</v>
      </c>
      <c r="N69" s="204">
        <v>25352</v>
      </c>
      <c r="O69" s="205">
        <f t="shared" si="9"/>
        <v>302001</v>
      </c>
      <c r="P69" s="234">
        <f t="shared" si="8"/>
        <v>27126.64</v>
      </c>
      <c r="Q69" s="207">
        <f t="shared" si="10"/>
        <v>325519.68</v>
      </c>
    </row>
    <row r="70" spans="1:17" s="22" customFormat="1" ht="19.5" customHeight="1">
      <c r="A70" s="219">
        <v>6</v>
      </c>
      <c r="B70" s="208" t="s">
        <v>197</v>
      </c>
      <c r="C70" s="342">
        <v>25591</v>
      </c>
      <c r="D70" s="342">
        <v>25591</v>
      </c>
      <c r="E70" s="204">
        <v>25591</v>
      </c>
      <c r="F70" s="204">
        <v>26355</v>
      </c>
      <c r="G70" s="204">
        <v>26355</v>
      </c>
      <c r="H70" s="204">
        <v>26355</v>
      </c>
      <c r="I70" s="204">
        <v>26355</v>
      </c>
      <c r="J70" s="204">
        <v>26355</v>
      </c>
      <c r="K70" s="204">
        <v>26355</v>
      </c>
      <c r="L70" s="204">
        <v>26355</v>
      </c>
      <c r="M70" s="204">
        <v>26355</v>
      </c>
      <c r="N70" s="204">
        <v>26355</v>
      </c>
      <c r="O70" s="205">
        <f t="shared" si="9"/>
        <v>313968</v>
      </c>
      <c r="P70" s="234">
        <f t="shared" si="8"/>
        <v>28199.85</v>
      </c>
      <c r="Q70" s="207">
        <f t="shared" si="10"/>
        <v>338398.19999999995</v>
      </c>
    </row>
    <row r="71" spans="1:17" s="22" customFormat="1" ht="19.5" customHeight="1">
      <c r="A71" s="219">
        <v>7</v>
      </c>
      <c r="B71" s="208" t="s">
        <v>188</v>
      </c>
      <c r="C71" s="342">
        <v>17345</v>
      </c>
      <c r="D71" s="342">
        <v>17345</v>
      </c>
      <c r="E71" s="204">
        <v>17345</v>
      </c>
      <c r="F71" s="204">
        <v>17871</v>
      </c>
      <c r="G71" s="204">
        <v>17871</v>
      </c>
      <c r="H71" s="204">
        <v>17871</v>
      </c>
      <c r="I71" s="204">
        <v>17871</v>
      </c>
      <c r="J71" s="204">
        <v>17871</v>
      </c>
      <c r="K71" s="204">
        <v>17871</v>
      </c>
      <c r="L71" s="204">
        <v>17871</v>
      </c>
      <c r="M71" s="204">
        <v>17871</v>
      </c>
      <c r="N71" s="204">
        <v>17871</v>
      </c>
      <c r="O71" s="205">
        <f t="shared" si="9"/>
        <v>212874</v>
      </c>
      <c r="P71" s="234">
        <f t="shared" si="8"/>
        <v>19121.97</v>
      </c>
      <c r="Q71" s="207">
        <f t="shared" si="10"/>
        <v>229463.64</v>
      </c>
    </row>
    <row r="72" spans="1:17" s="22" customFormat="1" ht="19.5" customHeight="1">
      <c r="A72" s="219">
        <v>8</v>
      </c>
      <c r="B72" s="208" t="s">
        <v>189</v>
      </c>
      <c r="C72" s="342">
        <v>17345</v>
      </c>
      <c r="D72" s="342">
        <v>15666</v>
      </c>
      <c r="E72" s="204">
        <v>17345</v>
      </c>
      <c r="F72" s="204">
        <v>19606</v>
      </c>
      <c r="G72" s="204">
        <v>17871</v>
      </c>
      <c r="H72" s="204">
        <v>17871</v>
      </c>
      <c r="I72" s="204">
        <v>17871</v>
      </c>
      <c r="J72" s="204">
        <v>17278</v>
      </c>
      <c r="K72" s="204">
        <v>17871</v>
      </c>
      <c r="L72" s="204">
        <v>16717</v>
      </c>
      <c r="M72" s="204">
        <v>14039</v>
      </c>
      <c r="N72" s="204">
        <v>14039</v>
      </c>
      <c r="O72" s="205">
        <f t="shared" si="9"/>
        <v>203519</v>
      </c>
      <c r="P72" s="234">
        <f t="shared" si="8"/>
        <v>15021.73</v>
      </c>
      <c r="Q72" s="207">
        <f t="shared" si="10"/>
        <v>180260.76</v>
      </c>
    </row>
    <row r="73" spans="1:17" s="22" customFormat="1" ht="19.5" customHeight="1">
      <c r="A73" s="219">
        <v>9</v>
      </c>
      <c r="B73" s="208" t="s">
        <v>222</v>
      </c>
      <c r="C73" s="342">
        <v>19923</v>
      </c>
      <c r="D73" s="342">
        <v>18638</v>
      </c>
      <c r="E73" s="204">
        <v>19923</v>
      </c>
      <c r="F73" s="204">
        <v>14205</v>
      </c>
      <c r="G73" s="204">
        <v>19369</v>
      </c>
      <c r="H73" s="204">
        <v>20015</v>
      </c>
      <c r="I73" s="204">
        <v>19369</v>
      </c>
      <c r="J73" s="204">
        <v>20015</v>
      </c>
      <c r="K73" s="204">
        <v>20015</v>
      </c>
      <c r="L73" s="204">
        <v>20015</v>
      </c>
      <c r="M73" s="204">
        <v>20015</v>
      </c>
      <c r="N73" s="204">
        <v>20015</v>
      </c>
      <c r="O73" s="205">
        <f t="shared" si="9"/>
        <v>231517</v>
      </c>
      <c r="P73" s="234">
        <f t="shared" si="8"/>
        <v>21416.05</v>
      </c>
      <c r="Q73" s="207">
        <f t="shared" si="10"/>
        <v>256992.59999999998</v>
      </c>
    </row>
    <row r="74" spans="1:17" s="22" customFormat="1" ht="19.5" customHeight="1">
      <c r="A74" s="219">
        <v>10</v>
      </c>
      <c r="B74" s="208" t="s">
        <v>223</v>
      </c>
      <c r="C74" s="342">
        <v>22511</v>
      </c>
      <c r="D74" s="342">
        <v>22511</v>
      </c>
      <c r="E74" s="204">
        <v>22511</v>
      </c>
      <c r="F74" s="204">
        <v>11225</v>
      </c>
      <c r="G74" s="204">
        <v>0</v>
      </c>
      <c r="H74" s="204">
        <v>0</v>
      </c>
      <c r="I74" s="204">
        <v>0</v>
      </c>
      <c r="J74" s="204">
        <v>0</v>
      </c>
      <c r="K74" s="204">
        <v>0</v>
      </c>
      <c r="L74" s="204">
        <v>0</v>
      </c>
      <c r="M74" s="204">
        <v>0</v>
      </c>
      <c r="N74" s="204">
        <v>0</v>
      </c>
      <c r="O74" s="205">
        <f t="shared" si="9"/>
        <v>78758</v>
      </c>
      <c r="P74" s="234">
        <f t="shared" si="8"/>
        <v>0</v>
      </c>
      <c r="Q74" s="207">
        <f t="shared" si="10"/>
        <v>0</v>
      </c>
    </row>
    <row r="75" spans="1:17" s="22" customFormat="1" ht="19.5" customHeight="1">
      <c r="A75" s="219">
        <v>11</v>
      </c>
      <c r="B75" s="208" t="s">
        <v>194</v>
      </c>
      <c r="C75" s="342">
        <v>16740</v>
      </c>
      <c r="D75" s="342">
        <v>16740</v>
      </c>
      <c r="E75" s="204">
        <v>16740</v>
      </c>
      <c r="F75" s="204">
        <v>16130</v>
      </c>
      <c r="G75" s="204">
        <v>17244</v>
      </c>
      <c r="H75" s="204">
        <v>17244</v>
      </c>
      <c r="I75" s="204">
        <v>17244</v>
      </c>
      <c r="J75" s="204">
        <v>16669</v>
      </c>
      <c r="K75" s="204">
        <v>17244</v>
      </c>
      <c r="L75" s="204">
        <v>17244</v>
      </c>
      <c r="M75" s="204">
        <v>17244</v>
      </c>
      <c r="N75" s="204">
        <v>17244</v>
      </c>
      <c r="O75" s="205">
        <f t="shared" si="9"/>
        <v>203727</v>
      </c>
      <c r="P75" s="206">
        <v>0</v>
      </c>
      <c r="Q75" s="207">
        <f t="shared" si="10"/>
        <v>0</v>
      </c>
    </row>
    <row r="76" spans="1:17" s="22" customFormat="1" ht="19.5" customHeight="1">
      <c r="A76" s="219">
        <v>12</v>
      </c>
      <c r="B76" s="208" t="s">
        <v>181</v>
      </c>
      <c r="C76" s="342">
        <v>21205</v>
      </c>
      <c r="D76" s="342">
        <v>21205</v>
      </c>
      <c r="E76" s="204">
        <v>21205</v>
      </c>
      <c r="F76" s="204">
        <v>21847</v>
      </c>
      <c r="G76" s="204">
        <v>21847</v>
      </c>
      <c r="H76" s="204">
        <v>21847</v>
      </c>
      <c r="I76" s="204">
        <v>21847</v>
      </c>
      <c r="J76" s="204">
        <v>21847</v>
      </c>
      <c r="K76" s="204">
        <v>21847</v>
      </c>
      <c r="L76" s="204">
        <v>21847</v>
      </c>
      <c r="M76" s="204">
        <v>21847</v>
      </c>
      <c r="N76" s="204">
        <v>21847</v>
      </c>
      <c r="O76" s="205">
        <f t="shared" si="9"/>
        <v>260238</v>
      </c>
      <c r="P76" s="234">
        <f>N76+(N76*7%)</f>
        <v>23376.29</v>
      </c>
      <c r="Q76" s="207">
        <f t="shared" si="10"/>
        <v>280515.48</v>
      </c>
    </row>
    <row r="77" spans="1:17" s="22" customFormat="1" ht="19.5" customHeight="1">
      <c r="A77" s="219">
        <v>13</v>
      </c>
      <c r="B77" s="208" t="s">
        <v>190</v>
      </c>
      <c r="C77" s="342">
        <v>17345</v>
      </c>
      <c r="D77" s="342">
        <v>17345</v>
      </c>
      <c r="E77" s="204">
        <v>17345</v>
      </c>
      <c r="F77" s="204">
        <v>17871</v>
      </c>
      <c r="G77" s="204">
        <v>17871</v>
      </c>
      <c r="H77" s="204">
        <v>17871</v>
      </c>
      <c r="I77" s="204">
        <v>17871</v>
      </c>
      <c r="J77" s="204">
        <v>17871</v>
      </c>
      <c r="K77" s="204">
        <v>17871</v>
      </c>
      <c r="L77" s="204">
        <v>17871</v>
      </c>
      <c r="M77" s="204">
        <v>17871</v>
      </c>
      <c r="N77" s="204">
        <v>17871</v>
      </c>
      <c r="O77" s="205">
        <f t="shared" si="9"/>
        <v>212874</v>
      </c>
      <c r="P77" s="234">
        <f>N77+(N77*7%)</f>
        <v>19121.97</v>
      </c>
      <c r="Q77" s="207">
        <f t="shared" si="10"/>
        <v>229463.64</v>
      </c>
    </row>
    <row r="78" spans="1:17" s="22" customFormat="1" ht="19.5" customHeight="1">
      <c r="A78" s="219">
        <v>14</v>
      </c>
      <c r="B78" s="208" t="s">
        <v>195</v>
      </c>
      <c r="C78" s="342">
        <v>32976</v>
      </c>
      <c r="D78" s="342">
        <v>32976</v>
      </c>
      <c r="E78" s="204">
        <v>27480</v>
      </c>
      <c r="F78" s="204">
        <v>0</v>
      </c>
      <c r="G78" s="204">
        <v>0</v>
      </c>
      <c r="H78" s="204">
        <v>0</v>
      </c>
      <c r="I78" s="204">
        <v>0</v>
      </c>
      <c r="J78" s="204">
        <v>0</v>
      </c>
      <c r="K78" s="204">
        <v>0</v>
      </c>
      <c r="L78" s="204">
        <v>0</v>
      </c>
      <c r="M78" s="204">
        <v>0</v>
      </c>
      <c r="N78" s="204">
        <v>0</v>
      </c>
      <c r="O78" s="205">
        <f t="shared" si="9"/>
        <v>93432</v>
      </c>
      <c r="P78" s="206">
        <v>0</v>
      </c>
      <c r="Q78" s="207">
        <f t="shared" si="10"/>
        <v>0</v>
      </c>
    </row>
    <row r="79" spans="1:17" s="22" customFormat="1" ht="19.5" customHeight="1">
      <c r="A79" s="219">
        <v>15</v>
      </c>
      <c r="B79" s="208" t="s">
        <v>182</v>
      </c>
      <c r="C79" s="342">
        <v>26976</v>
      </c>
      <c r="D79" s="342">
        <v>26976</v>
      </c>
      <c r="E79" s="204">
        <v>26077</v>
      </c>
      <c r="F79" s="204">
        <v>27801</v>
      </c>
      <c r="G79" s="204">
        <v>27801</v>
      </c>
      <c r="H79" s="204">
        <v>27801</v>
      </c>
      <c r="I79" s="204">
        <v>27801</v>
      </c>
      <c r="J79" s="204">
        <v>27801</v>
      </c>
      <c r="K79" s="204">
        <v>27801</v>
      </c>
      <c r="L79" s="204">
        <v>27801</v>
      </c>
      <c r="M79" s="204">
        <v>27801</v>
      </c>
      <c r="N79" s="204">
        <v>27801</v>
      </c>
      <c r="O79" s="205">
        <f t="shared" si="9"/>
        <v>330238</v>
      </c>
      <c r="P79" s="234">
        <f aca="true" t="shared" si="11" ref="P79:P95">N79+(N79*7%)</f>
        <v>29747.07</v>
      </c>
      <c r="Q79" s="207">
        <f t="shared" si="10"/>
        <v>356964.83999999997</v>
      </c>
    </row>
    <row r="80" spans="1:17" s="22" customFormat="1" ht="19.5" customHeight="1">
      <c r="A80" s="219">
        <v>16</v>
      </c>
      <c r="B80" s="208" t="s">
        <v>174</v>
      </c>
      <c r="C80" s="342">
        <v>32330</v>
      </c>
      <c r="D80" s="342">
        <v>32330</v>
      </c>
      <c r="E80" s="204">
        <v>32330</v>
      </c>
      <c r="F80" s="204">
        <v>33286</v>
      </c>
      <c r="G80" s="204">
        <v>33286</v>
      </c>
      <c r="H80" s="204">
        <v>33286</v>
      </c>
      <c r="I80" s="204">
        <v>33286</v>
      </c>
      <c r="J80" s="204">
        <v>33286</v>
      </c>
      <c r="K80" s="204">
        <v>33286</v>
      </c>
      <c r="L80" s="204">
        <v>33286</v>
      </c>
      <c r="M80" s="204">
        <v>33286</v>
      </c>
      <c r="N80" s="204">
        <v>33286</v>
      </c>
      <c r="O80" s="205">
        <f t="shared" si="9"/>
        <v>396564</v>
      </c>
      <c r="P80" s="234">
        <f t="shared" si="11"/>
        <v>35616.020000000004</v>
      </c>
      <c r="Q80" s="207">
        <f t="shared" si="10"/>
        <v>427392.24000000005</v>
      </c>
    </row>
    <row r="81" spans="1:17" s="22" customFormat="1" ht="19.5" customHeight="1">
      <c r="A81" s="219">
        <v>17</v>
      </c>
      <c r="B81" s="208" t="s">
        <v>184</v>
      </c>
      <c r="C81" s="342">
        <v>17770</v>
      </c>
      <c r="D81" s="342">
        <v>16623</v>
      </c>
      <c r="E81" s="204">
        <v>17770</v>
      </c>
      <c r="F81" s="204">
        <v>15364</v>
      </c>
      <c r="G81" s="204">
        <v>18320</v>
      </c>
      <c r="H81" s="204">
        <v>18320</v>
      </c>
      <c r="I81" s="204">
        <v>18320</v>
      </c>
      <c r="J81" s="204">
        <v>18320</v>
      </c>
      <c r="K81" s="204">
        <v>18320</v>
      </c>
      <c r="L81" s="204">
        <v>17729</v>
      </c>
      <c r="M81" s="204">
        <v>18320</v>
      </c>
      <c r="N81" s="204">
        <v>18320</v>
      </c>
      <c r="O81" s="205">
        <f t="shared" si="9"/>
        <v>213496</v>
      </c>
      <c r="P81" s="234">
        <f t="shared" si="11"/>
        <v>19602.4</v>
      </c>
      <c r="Q81" s="207">
        <f t="shared" si="10"/>
        <v>235228.80000000002</v>
      </c>
    </row>
    <row r="82" spans="1:17" s="22" customFormat="1" ht="19.5" customHeight="1">
      <c r="A82" s="219">
        <v>18</v>
      </c>
      <c r="B82" s="208" t="s">
        <v>224</v>
      </c>
      <c r="C82" s="342">
        <v>17770</v>
      </c>
      <c r="D82" s="342">
        <v>17770</v>
      </c>
      <c r="E82" s="204">
        <v>17770</v>
      </c>
      <c r="F82" s="204">
        <v>18320</v>
      </c>
      <c r="G82" s="204">
        <v>18320</v>
      </c>
      <c r="H82" s="204">
        <v>13434</v>
      </c>
      <c r="I82" s="204">
        <v>18320</v>
      </c>
      <c r="J82" s="204">
        <v>18320</v>
      </c>
      <c r="K82" s="204">
        <v>18320</v>
      </c>
      <c r="L82" s="204">
        <v>18320</v>
      </c>
      <c r="M82" s="204">
        <v>18320</v>
      </c>
      <c r="N82" s="204">
        <v>18320</v>
      </c>
      <c r="O82" s="205">
        <f t="shared" si="9"/>
        <v>213304</v>
      </c>
      <c r="P82" s="234">
        <f t="shared" si="11"/>
        <v>19602.4</v>
      </c>
      <c r="Q82" s="207">
        <f t="shared" si="10"/>
        <v>235228.80000000002</v>
      </c>
    </row>
    <row r="83" spans="1:17" s="22" customFormat="1" ht="19.5" customHeight="1">
      <c r="A83" s="219">
        <v>19</v>
      </c>
      <c r="B83" s="208" t="s">
        <v>180</v>
      </c>
      <c r="C83" s="342">
        <v>19869</v>
      </c>
      <c r="D83" s="342">
        <v>20602</v>
      </c>
      <c r="E83" s="204">
        <v>19869</v>
      </c>
      <c r="F83" s="204">
        <v>20602</v>
      </c>
      <c r="G83" s="204">
        <v>18540</v>
      </c>
      <c r="H83" s="204">
        <v>12064</v>
      </c>
      <c r="I83" s="204">
        <v>17854</v>
      </c>
      <c r="J83" s="204">
        <v>20580</v>
      </c>
      <c r="K83" s="204">
        <v>21289</v>
      </c>
      <c r="L83" s="204">
        <v>21289</v>
      </c>
      <c r="M83" s="204">
        <v>20529</v>
      </c>
      <c r="N83" s="204">
        <v>20529</v>
      </c>
      <c r="O83" s="205">
        <f t="shared" si="9"/>
        <v>233616</v>
      </c>
      <c r="P83" s="234">
        <f t="shared" si="11"/>
        <v>21966.03</v>
      </c>
      <c r="Q83" s="207">
        <f t="shared" si="10"/>
        <v>263592.36</v>
      </c>
    </row>
    <row r="84" spans="1:17" s="22" customFormat="1" ht="19.5" customHeight="1">
      <c r="A84" s="219">
        <v>20</v>
      </c>
      <c r="B84" s="208" t="s">
        <v>192</v>
      </c>
      <c r="C84" s="342">
        <v>23494</v>
      </c>
      <c r="D84" s="342">
        <v>23494</v>
      </c>
      <c r="E84" s="204">
        <v>23494</v>
      </c>
      <c r="F84" s="204">
        <v>24211</v>
      </c>
      <c r="G84" s="204">
        <v>24211</v>
      </c>
      <c r="H84" s="204">
        <v>24211</v>
      </c>
      <c r="I84" s="204">
        <v>24211</v>
      </c>
      <c r="J84" s="204">
        <v>24211</v>
      </c>
      <c r="K84" s="204">
        <v>24211</v>
      </c>
      <c r="L84" s="204">
        <v>24211</v>
      </c>
      <c r="M84" s="204">
        <v>24211</v>
      </c>
      <c r="N84" s="204">
        <v>24211</v>
      </c>
      <c r="O84" s="205">
        <f t="shared" si="9"/>
        <v>288381</v>
      </c>
      <c r="P84" s="234">
        <f t="shared" si="11"/>
        <v>25905.77</v>
      </c>
      <c r="Q84" s="207">
        <f t="shared" si="10"/>
        <v>310869.24</v>
      </c>
    </row>
    <row r="85" spans="1:17" s="22" customFormat="1" ht="19.5" customHeight="1">
      <c r="A85" s="219">
        <v>21</v>
      </c>
      <c r="B85" s="208" t="s">
        <v>173</v>
      </c>
      <c r="C85" s="342">
        <v>31930</v>
      </c>
      <c r="D85" s="342">
        <v>31930</v>
      </c>
      <c r="E85" s="204">
        <v>31930</v>
      </c>
      <c r="F85" s="204">
        <v>32886</v>
      </c>
      <c r="G85" s="204">
        <v>32886</v>
      </c>
      <c r="H85" s="204">
        <v>32886</v>
      </c>
      <c r="I85" s="204">
        <v>32886</v>
      </c>
      <c r="J85" s="204">
        <v>32886</v>
      </c>
      <c r="K85" s="204">
        <v>32886</v>
      </c>
      <c r="L85" s="204">
        <v>32886</v>
      </c>
      <c r="M85" s="204">
        <v>32886</v>
      </c>
      <c r="N85" s="204">
        <v>32886</v>
      </c>
      <c r="O85" s="205">
        <f t="shared" si="9"/>
        <v>391764</v>
      </c>
      <c r="P85" s="234">
        <f t="shared" si="11"/>
        <v>35188.020000000004</v>
      </c>
      <c r="Q85" s="207">
        <f t="shared" si="10"/>
        <v>422256.24000000005</v>
      </c>
    </row>
    <row r="86" spans="1:17" s="22" customFormat="1" ht="19.5" customHeight="1">
      <c r="A86" s="219">
        <v>22</v>
      </c>
      <c r="B86" s="208" t="s">
        <v>198</v>
      </c>
      <c r="C86" s="342">
        <v>16843</v>
      </c>
      <c r="D86" s="342">
        <v>15757</v>
      </c>
      <c r="E86" s="204">
        <v>16843</v>
      </c>
      <c r="F86" s="204">
        <v>15107</v>
      </c>
      <c r="G86" s="204">
        <v>17345</v>
      </c>
      <c r="H86" s="204">
        <v>17345</v>
      </c>
      <c r="I86" s="204">
        <v>17345</v>
      </c>
      <c r="J86" s="204">
        <v>17345</v>
      </c>
      <c r="K86" s="204">
        <v>17345</v>
      </c>
      <c r="L86" s="204">
        <v>17345</v>
      </c>
      <c r="M86" s="204">
        <v>17345</v>
      </c>
      <c r="N86" s="204">
        <v>17345</v>
      </c>
      <c r="O86" s="205">
        <f t="shared" si="9"/>
        <v>203310</v>
      </c>
      <c r="P86" s="234">
        <f t="shared" si="11"/>
        <v>18559.15</v>
      </c>
      <c r="Q86" s="207">
        <f t="shared" si="10"/>
        <v>222709.80000000002</v>
      </c>
    </row>
    <row r="87" spans="1:17" s="22" customFormat="1" ht="19.5" customHeight="1">
      <c r="A87" s="219">
        <v>23</v>
      </c>
      <c r="B87" s="208" t="s">
        <v>185</v>
      </c>
      <c r="C87" s="342">
        <v>19923</v>
      </c>
      <c r="D87" s="342">
        <v>19923</v>
      </c>
      <c r="E87" s="204">
        <v>19923</v>
      </c>
      <c r="F87" s="204">
        <v>20015</v>
      </c>
      <c r="G87" s="204">
        <v>16786</v>
      </c>
      <c r="H87" s="204">
        <v>16678</v>
      </c>
      <c r="I87" s="204">
        <v>20015</v>
      </c>
      <c r="J87" s="204">
        <v>20015</v>
      </c>
      <c r="K87" s="204">
        <v>20015</v>
      </c>
      <c r="L87" s="204">
        <v>25180</v>
      </c>
      <c r="M87" s="204">
        <v>20015</v>
      </c>
      <c r="N87" s="204">
        <v>20015</v>
      </c>
      <c r="O87" s="205">
        <f t="shared" si="9"/>
        <v>238503</v>
      </c>
      <c r="P87" s="234">
        <f t="shared" si="11"/>
        <v>21416.05</v>
      </c>
      <c r="Q87" s="207">
        <f t="shared" si="10"/>
        <v>256992.59999999998</v>
      </c>
    </row>
    <row r="88" spans="1:17" s="22" customFormat="1" ht="19.5" customHeight="1">
      <c r="A88" s="219">
        <v>24</v>
      </c>
      <c r="B88" s="208" t="s">
        <v>196</v>
      </c>
      <c r="C88" s="342">
        <v>26976</v>
      </c>
      <c r="D88" s="342">
        <v>26976</v>
      </c>
      <c r="E88" s="204">
        <v>26976</v>
      </c>
      <c r="F88" s="204">
        <v>27801</v>
      </c>
      <c r="G88" s="204">
        <v>27801</v>
      </c>
      <c r="H88" s="204">
        <v>27801</v>
      </c>
      <c r="I88" s="204">
        <v>27801</v>
      </c>
      <c r="J88" s="204">
        <v>27801</v>
      </c>
      <c r="K88" s="204">
        <v>27801</v>
      </c>
      <c r="L88" s="204">
        <v>27801</v>
      </c>
      <c r="M88" s="204">
        <v>27801</v>
      </c>
      <c r="N88" s="204">
        <v>27801</v>
      </c>
      <c r="O88" s="205">
        <f t="shared" si="9"/>
        <v>331137</v>
      </c>
      <c r="P88" s="234">
        <f t="shared" si="11"/>
        <v>29747.07</v>
      </c>
      <c r="Q88" s="207">
        <f t="shared" si="10"/>
        <v>356964.83999999997</v>
      </c>
    </row>
    <row r="89" spans="1:17" s="22" customFormat="1" ht="19.5" customHeight="1">
      <c r="A89" s="219">
        <v>25</v>
      </c>
      <c r="B89" s="208" t="s">
        <v>186</v>
      </c>
      <c r="C89" s="342">
        <v>20100</v>
      </c>
      <c r="D89" s="342">
        <v>20793</v>
      </c>
      <c r="E89" s="204">
        <v>20793</v>
      </c>
      <c r="F89" s="204">
        <v>20889</v>
      </c>
      <c r="G89" s="204">
        <v>20889</v>
      </c>
      <c r="H89" s="204">
        <v>20193</v>
      </c>
      <c r="I89" s="204">
        <v>20889</v>
      </c>
      <c r="J89" s="204">
        <v>20889</v>
      </c>
      <c r="K89" s="204">
        <v>20889</v>
      </c>
      <c r="L89" s="204">
        <v>20215</v>
      </c>
      <c r="M89" s="204">
        <v>20889</v>
      </c>
      <c r="N89" s="204">
        <v>20889</v>
      </c>
      <c r="O89" s="205">
        <f t="shared" si="9"/>
        <v>248317</v>
      </c>
      <c r="P89" s="234">
        <f t="shared" si="11"/>
        <v>22351.23</v>
      </c>
      <c r="Q89" s="207">
        <f t="shared" si="10"/>
        <v>268214.76</v>
      </c>
    </row>
    <row r="90" spans="1:17" s="22" customFormat="1" ht="19.5" customHeight="1">
      <c r="A90" s="219">
        <v>26</v>
      </c>
      <c r="B90" s="208" t="s">
        <v>187</v>
      </c>
      <c r="C90" s="342">
        <v>15491</v>
      </c>
      <c r="D90" s="342">
        <v>16139</v>
      </c>
      <c r="E90" s="204">
        <v>17871</v>
      </c>
      <c r="F90" s="204">
        <v>17804</v>
      </c>
      <c r="G90" s="204">
        <v>17804</v>
      </c>
      <c r="H90" s="204">
        <v>18397</v>
      </c>
      <c r="I90" s="204">
        <v>18397</v>
      </c>
      <c r="J90" s="204">
        <v>16558</v>
      </c>
      <c r="K90" s="204">
        <v>18397</v>
      </c>
      <c r="L90" s="204">
        <v>17804</v>
      </c>
      <c r="M90" s="204">
        <v>18397</v>
      </c>
      <c r="N90" s="204">
        <v>18397</v>
      </c>
      <c r="O90" s="205">
        <f t="shared" si="9"/>
        <v>211456</v>
      </c>
      <c r="P90" s="234">
        <f t="shared" si="11"/>
        <v>19684.79</v>
      </c>
      <c r="Q90" s="207">
        <f t="shared" si="10"/>
        <v>236217.48</v>
      </c>
    </row>
    <row r="91" spans="1:17" s="22" customFormat="1" ht="19.5" customHeight="1">
      <c r="A91" s="219">
        <v>27</v>
      </c>
      <c r="B91" s="208" t="s">
        <v>175</v>
      </c>
      <c r="C91" s="342">
        <v>35939</v>
      </c>
      <c r="D91" s="342">
        <v>35939</v>
      </c>
      <c r="E91" s="204">
        <v>35939</v>
      </c>
      <c r="F91" s="204">
        <v>37015</v>
      </c>
      <c r="G91" s="204">
        <v>37015</v>
      </c>
      <c r="H91" s="204">
        <v>37015</v>
      </c>
      <c r="I91" s="204">
        <v>37015</v>
      </c>
      <c r="J91" s="204">
        <v>37015</v>
      </c>
      <c r="K91" s="204">
        <v>37015</v>
      </c>
      <c r="L91" s="204">
        <v>37015</v>
      </c>
      <c r="M91" s="204">
        <v>37015</v>
      </c>
      <c r="N91" s="204">
        <v>37015</v>
      </c>
      <c r="O91" s="205">
        <f t="shared" si="9"/>
        <v>440952</v>
      </c>
      <c r="P91" s="234">
        <f t="shared" si="11"/>
        <v>39606.05</v>
      </c>
      <c r="Q91" s="207">
        <f t="shared" si="10"/>
        <v>475272.60000000003</v>
      </c>
    </row>
    <row r="92" spans="1:17" s="22" customFormat="1" ht="19.5" customHeight="1">
      <c r="A92" s="219">
        <v>28</v>
      </c>
      <c r="B92" s="208" t="s">
        <v>193</v>
      </c>
      <c r="C92" s="342">
        <v>16843</v>
      </c>
      <c r="D92" s="342">
        <v>16843</v>
      </c>
      <c r="E92" s="204">
        <v>16843</v>
      </c>
      <c r="F92" s="204">
        <v>22235</v>
      </c>
      <c r="G92" s="204">
        <v>17345</v>
      </c>
      <c r="H92" s="204">
        <v>17345</v>
      </c>
      <c r="I92" s="204">
        <v>17345</v>
      </c>
      <c r="J92" s="204">
        <v>17345</v>
      </c>
      <c r="K92" s="204">
        <v>17345</v>
      </c>
      <c r="L92" s="204">
        <v>17345</v>
      </c>
      <c r="M92" s="204">
        <v>16727</v>
      </c>
      <c r="N92" s="204">
        <v>16727</v>
      </c>
      <c r="O92" s="205">
        <f t="shared" si="9"/>
        <v>210288</v>
      </c>
      <c r="P92" s="234">
        <f t="shared" si="11"/>
        <v>17897.89</v>
      </c>
      <c r="Q92" s="207">
        <f t="shared" si="10"/>
        <v>214774.68</v>
      </c>
    </row>
    <row r="93" spans="1:17" s="22" customFormat="1" ht="19.5" customHeight="1">
      <c r="A93" s="219">
        <v>29</v>
      </c>
      <c r="B93" s="208" t="s">
        <v>191</v>
      </c>
      <c r="C93" s="342">
        <v>20587</v>
      </c>
      <c r="D93" s="342">
        <v>20587</v>
      </c>
      <c r="E93" s="204">
        <v>20587</v>
      </c>
      <c r="F93" s="204">
        <v>21205</v>
      </c>
      <c r="G93" s="204">
        <v>21205</v>
      </c>
      <c r="H93" s="204">
        <v>21205</v>
      </c>
      <c r="I93" s="204">
        <v>21205</v>
      </c>
      <c r="J93" s="204">
        <v>21205</v>
      </c>
      <c r="K93" s="204">
        <v>21205</v>
      </c>
      <c r="L93" s="204">
        <v>21205</v>
      </c>
      <c r="M93" s="204">
        <v>21205</v>
      </c>
      <c r="N93" s="204">
        <v>21205</v>
      </c>
      <c r="O93" s="205">
        <f t="shared" si="9"/>
        <v>252606</v>
      </c>
      <c r="P93" s="234">
        <f t="shared" si="11"/>
        <v>22689.35</v>
      </c>
      <c r="Q93" s="207">
        <f t="shared" si="10"/>
        <v>272272.19999999995</v>
      </c>
    </row>
    <row r="94" spans="1:17" s="22" customFormat="1" ht="19.5" customHeight="1">
      <c r="A94" s="219">
        <v>30</v>
      </c>
      <c r="B94" s="208" t="s">
        <v>172</v>
      </c>
      <c r="C94" s="342">
        <v>62723</v>
      </c>
      <c r="D94" s="342">
        <v>62723</v>
      </c>
      <c r="E94" s="204">
        <v>62723</v>
      </c>
      <c r="F94" s="204">
        <v>64624</v>
      </c>
      <c r="G94" s="204">
        <v>64624</v>
      </c>
      <c r="H94" s="204">
        <v>64624</v>
      </c>
      <c r="I94" s="204">
        <v>64624</v>
      </c>
      <c r="J94" s="204">
        <v>64624</v>
      </c>
      <c r="K94" s="204">
        <v>64624</v>
      </c>
      <c r="L94" s="204">
        <v>64624</v>
      </c>
      <c r="M94" s="204">
        <v>64624</v>
      </c>
      <c r="N94" s="204">
        <v>64624</v>
      </c>
      <c r="O94" s="205">
        <f t="shared" si="9"/>
        <v>769785</v>
      </c>
      <c r="P94" s="234">
        <f t="shared" si="11"/>
        <v>69147.68</v>
      </c>
      <c r="Q94" s="207">
        <f t="shared" si="10"/>
        <v>829772.1599999999</v>
      </c>
    </row>
    <row r="95" spans="1:17" s="22" customFormat="1" ht="19.5" customHeight="1">
      <c r="A95" s="219">
        <v>31</v>
      </c>
      <c r="B95" s="208" t="s">
        <v>272</v>
      </c>
      <c r="C95" s="342">
        <v>77513</v>
      </c>
      <c r="D95" s="342">
        <v>77513</v>
      </c>
      <c r="E95" s="204">
        <v>77513</v>
      </c>
      <c r="F95" s="204">
        <v>79807</v>
      </c>
      <c r="G95" s="204">
        <v>79807</v>
      </c>
      <c r="H95" s="204">
        <v>79807</v>
      </c>
      <c r="I95" s="204">
        <v>79807</v>
      </c>
      <c r="J95" s="204">
        <v>79807</v>
      </c>
      <c r="K95" s="204">
        <v>79807</v>
      </c>
      <c r="L95" s="204">
        <v>79807</v>
      </c>
      <c r="M95" s="204">
        <v>79807</v>
      </c>
      <c r="N95" s="204">
        <v>79807</v>
      </c>
      <c r="O95" s="205">
        <f t="shared" si="9"/>
        <v>950802</v>
      </c>
      <c r="P95" s="234">
        <f t="shared" si="11"/>
        <v>85393.49</v>
      </c>
      <c r="Q95" s="207">
        <f t="shared" si="10"/>
        <v>1024721.8800000001</v>
      </c>
    </row>
    <row r="96" spans="1:17" s="22" customFormat="1" ht="19.5" customHeight="1">
      <c r="A96" s="211"/>
      <c r="B96" s="211" t="s">
        <v>27</v>
      </c>
      <c r="C96" s="211">
        <f aca="true" t="shared" si="12" ref="C96:Q96">SUM(C65:C95)</f>
        <v>780285</v>
      </c>
      <c r="D96" s="211">
        <f t="shared" si="12"/>
        <v>777183</v>
      </c>
      <c r="E96" s="211">
        <f t="shared" si="12"/>
        <v>777627</v>
      </c>
      <c r="F96" s="211">
        <f t="shared" si="12"/>
        <v>752677</v>
      </c>
      <c r="G96" s="211">
        <f t="shared" si="12"/>
        <v>740362</v>
      </c>
      <c r="H96" s="211">
        <f t="shared" si="12"/>
        <v>730081</v>
      </c>
      <c r="I96" s="211">
        <f t="shared" si="12"/>
        <v>743498</v>
      </c>
      <c r="J96" s="211">
        <f t="shared" si="12"/>
        <v>743174</v>
      </c>
      <c r="K96" s="211">
        <f t="shared" si="12"/>
        <v>748225</v>
      </c>
      <c r="L96" s="211">
        <f t="shared" si="12"/>
        <v>745211</v>
      </c>
      <c r="M96" s="211">
        <f t="shared" si="12"/>
        <v>742300</v>
      </c>
      <c r="N96" s="211">
        <f t="shared" si="12"/>
        <v>742300</v>
      </c>
      <c r="O96" s="211">
        <f t="shared" si="12"/>
        <v>9022923</v>
      </c>
      <c r="P96" s="235">
        <f t="shared" si="12"/>
        <v>775809.9200000002</v>
      </c>
      <c r="Q96" s="235">
        <f t="shared" si="12"/>
        <v>9309719.04</v>
      </c>
    </row>
    <row r="97" spans="1:17" s="22" customFormat="1" ht="19.5" customHeight="1">
      <c r="A97" s="205"/>
      <c r="B97" s="205" t="s">
        <v>168</v>
      </c>
      <c r="C97" s="214">
        <v>48466</v>
      </c>
      <c r="D97" s="214">
        <v>48310</v>
      </c>
      <c r="E97" s="214">
        <v>48600</v>
      </c>
      <c r="F97" s="214">
        <v>47707</v>
      </c>
      <c r="G97" s="214">
        <v>46800</v>
      </c>
      <c r="H97" s="214">
        <v>46044</v>
      </c>
      <c r="I97" s="214">
        <v>46800</v>
      </c>
      <c r="J97" s="214">
        <v>46782</v>
      </c>
      <c r="K97" s="214">
        <v>46800</v>
      </c>
      <c r="L97" s="214">
        <v>46797</v>
      </c>
      <c r="M97" s="214">
        <v>46507</v>
      </c>
      <c r="N97" s="214">
        <v>46507</v>
      </c>
      <c r="O97" s="214">
        <f>SUM(C97:N97)</f>
        <v>566120</v>
      </c>
      <c r="P97" s="214">
        <f>N97</f>
        <v>46507</v>
      </c>
      <c r="Q97" s="207">
        <f>P97*12</f>
        <v>558084</v>
      </c>
    </row>
    <row r="98" spans="1:17" s="22" customFormat="1" ht="19.5" customHeight="1">
      <c r="A98" s="205"/>
      <c r="B98" s="205" t="s">
        <v>169</v>
      </c>
      <c r="C98" s="215">
        <v>2040</v>
      </c>
      <c r="D98" s="215">
        <v>2033</v>
      </c>
      <c r="E98" s="215">
        <v>2045</v>
      </c>
      <c r="F98" s="215">
        <v>2008</v>
      </c>
      <c r="G98" s="215">
        <v>1970</v>
      </c>
      <c r="H98" s="215">
        <v>1938</v>
      </c>
      <c r="I98" s="215">
        <v>1970</v>
      </c>
      <c r="J98" s="215">
        <v>1969</v>
      </c>
      <c r="K98" s="215">
        <v>1970</v>
      </c>
      <c r="L98" s="215">
        <v>1969</v>
      </c>
      <c r="M98" s="215">
        <v>1957</v>
      </c>
      <c r="N98" s="215">
        <v>1957</v>
      </c>
      <c r="O98" s="207">
        <f>SUM(C98:N98)</f>
        <v>23826</v>
      </c>
      <c r="P98" s="215">
        <v>1957</v>
      </c>
      <c r="Q98" s="207">
        <f>P98*12</f>
        <v>23484</v>
      </c>
    </row>
    <row r="99" spans="1:17" s="22" customFormat="1" ht="19.5" customHeight="1">
      <c r="A99" s="205"/>
      <c r="B99" s="211" t="s">
        <v>170</v>
      </c>
      <c r="C99" s="216">
        <f>SUM(C96:C98)</f>
        <v>830791</v>
      </c>
      <c r="D99" s="216">
        <f aca="true" t="shared" si="13" ref="D99:Q99">SUM(D96:D98)</f>
        <v>827526</v>
      </c>
      <c r="E99" s="216">
        <f t="shared" si="13"/>
        <v>828272</v>
      </c>
      <c r="F99" s="216">
        <f t="shared" si="13"/>
        <v>802392</v>
      </c>
      <c r="G99" s="216">
        <f t="shared" si="13"/>
        <v>789132</v>
      </c>
      <c r="H99" s="216">
        <f t="shared" si="13"/>
        <v>778063</v>
      </c>
      <c r="I99" s="216">
        <f t="shared" si="13"/>
        <v>792268</v>
      </c>
      <c r="J99" s="216">
        <f t="shared" si="13"/>
        <v>791925</v>
      </c>
      <c r="K99" s="216">
        <f t="shared" si="13"/>
        <v>796995</v>
      </c>
      <c r="L99" s="216">
        <f t="shared" si="13"/>
        <v>793977</v>
      </c>
      <c r="M99" s="216">
        <f t="shared" si="13"/>
        <v>790764</v>
      </c>
      <c r="N99" s="216">
        <f t="shared" si="13"/>
        <v>790764</v>
      </c>
      <c r="O99" s="216">
        <f t="shared" si="13"/>
        <v>9612869</v>
      </c>
      <c r="P99" s="216">
        <f t="shared" si="13"/>
        <v>824273.9200000002</v>
      </c>
      <c r="Q99" s="216">
        <f t="shared" si="13"/>
        <v>9891287.04</v>
      </c>
    </row>
    <row r="100" s="21" customFormat="1" ht="15"/>
    <row r="101" spans="2:17" s="22" customFormat="1" ht="19.5" customHeight="1">
      <c r="B101" s="5" t="s">
        <v>384</v>
      </c>
      <c r="C101" s="344"/>
      <c r="D101" s="344"/>
      <c r="E101" s="592"/>
      <c r="F101" s="592"/>
      <c r="G101" s="149"/>
      <c r="H101" s="149"/>
      <c r="I101" s="149"/>
      <c r="J101" s="149"/>
      <c r="K101" s="149"/>
      <c r="L101" s="149"/>
      <c r="M101" s="149"/>
      <c r="N101" s="149"/>
      <c r="O101" s="151">
        <f>O58+O99</f>
        <v>34662563</v>
      </c>
      <c r="P101" s="5"/>
      <c r="Q101" s="151">
        <f>Q58+Q99</f>
        <v>33775406.400000006</v>
      </c>
    </row>
    <row r="103" ht="15">
      <c r="O103" s="233"/>
    </row>
    <row r="104" ht="15">
      <c r="O104" s="233"/>
    </row>
  </sheetData>
  <sheetProtection/>
  <mergeCells count="17">
    <mergeCell ref="A1:Q1"/>
    <mergeCell ref="A63:A64"/>
    <mergeCell ref="B63:B64"/>
    <mergeCell ref="C63:N63"/>
    <mergeCell ref="C6:N6"/>
    <mergeCell ref="O63:O64"/>
    <mergeCell ref="P63:P64"/>
    <mergeCell ref="Q63:Q64"/>
    <mergeCell ref="E101:F101"/>
    <mergeCell ref="A2:Q2"/>
    <mergeCell ref="A4:Q4"/>
    <mergeCell ref="O6:O7"/>
    <mergeCell ref="P6:P7"/>
    <mergeCell ref="Q6:Q7"/>
    <mergeCell ref="A61:Q61"/>
    <mergeCell ref="B6:B7"/>
    <mergeCell ref="A6:A7"/>
  </mergeCells>
  <printOptions/>
  <pageMargins left="0.1968503937007874" right="0.2362204724409449" top="0.7480314960629921" bottom="0.7480314960629921" header="0.31496062992125984" footer="0.31496062992125984"/>
  <pageSetup horizontalDpi="600" verticalDpi="600" orientation="landscape" paperSize="9" scale="58" r:id="rId1"/>
  <rowBreaks count="2" manualBreakCount="2">
    <brk id="40" max="255" man="1"/>
    <brk id="76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B2:E28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2.28125" style="1" customWidth="1"/>
    <col min="2" max="2" width="13.00390625" style="1" customWidth="1"/>
    <col min="3" max="3" width="37.421875" style="1" customWidth="1"/>
    <col min="4" max="5" width="17.28125" style="1" customWidth="1"/>
    <col min="6" max="16384" width="9.140625" style="1" customWidth="1"/>
  </cols>
  <sheetData>
    <row r="2" spans="2:5" ht="16.5">
      <c r="B2" s="561" t="s">
        <v>405</v>
      </c>
      <c r="C2" s="561"/>
      <c r="D2" s="561"/>
      <c r="E2" s="561"/>
    </row>
    <row r="3" spans="2:4" ht="15.75">
      <c r="B3" s="345"/>
      <c r="C3" s="345"/>
      <c r="D3" s="191"/>
    </row>
    <row r="4" spans="2:5" ht="15.75">
      <c r="B4" s="567" t="s">
        <v>225</v>
      </c>
      <c r="C4" s="567"/>
      <c r="D4" s="567"/>
      <c r="E4" s="567"/>
    </row>
    <row r="5" spans="2:4" ht="15.75">
      <c r="B5" s="345"/>
      <c r="C5" s="345"/>
      <c r="D5" s="191"/>
    </row>
    <row r="6" spans="2:5" ht="63.75">
      <c r="B6" s="18" t="s">
        <v>40</v>
      </c>
      <c r="C6" s="18" t="s">
        <v>41</v>
      </c>
      <c r="D6" s="75" t="s">
        <v>520</v>
      </c>
      <c r="E6" s="18" t="s">
        <v>547</v>
      </c>
    </row>
    <row r="7" spans="2:5" ht="35.25" customHeight="1">
      <c r="B7" s="27">
        <v>1</v>
      </c>
      <c r="C7" s="59" t="s">
        <v>539</v>
      </c>
      <c r="D7" s="360">
        <v>10000</v>
      </c>
      <c r="E7" s="300">
        <v>55000</v>
      </c>
    </row>
    <row r="8" spans="2:5" ht="19.5" customHeight="1">
      <c r="B8" s="3"/>
      <c r="C8" s="41" t="s">
        <v>26</v>
      </c>
      <c r="D8" s="298">
        <f>SUM(D7:D7)</f>
        <v>10000</v>
      </c>
      <c r="E8" s="298">
        <f>SUM(E7:E7)</f>
        <v>55000</v>
      </c>
    </row>
    <row r="9" spans="2:4" ht="15.75">
      <c r="B9" s="345"/>
      <c r="C9" s="345"/>
      <c r="D9" s="191"/>
    </row>
    <row r="10" spans="2:5" ht="15">
      <c r="B10" s="609" t="s">
        <v>575</v>
      </c>
      <c r="C10" s="609"/>
      <c r="D10" s="609"/>
      <c r="E10" s="609"/>
    </row>
    <row r="11" spans="2:4" ht="15">
      <c r="B11" s="192"/>
      <c r="C11" s="192"/>
      <c r="D11" s="191"/>
    </row>
    <row r="12" spans="2:4" s="7" customFormat="1" ht="28.5" customHeight="1">
      <c r="B12" s="74" t="s">
        <v>137</v>
      </c>
      <c r="C12" s="74" t="s">
        <v>109</v>
      </c>
      <c r="D12" s="74" t="s">
        <v>133</v>
      </c>
    </row>
    <row r="13" spans="2:4" ht="40.5">
      <c r="B13" s="347" t="s">
        <v>540</v>
      </c>
      <c r="C13" s="196" t="s">
        <v>541</v>
      </c>
      <c r="D13" s="82">
        <v>1000</v>
      </c>
    </row>
    <row r="14" spans="2:4" ht="27">
      <c r="B14" s="347" t="s">
        <v>542</v>
      </c>
      <c r="C14" s="196" t="s">
        <v>543</v>
      </c>
      <c r="D14" s="82">
        <v>4000</v>
      </c>
    </row>
    <row r="15" spans="2:4" ht="40.5">
      <c r="B15" s="347" t="s">
        <v>548</v>
      </c>
      <c r="C15" s="196" t="s">
        <v>549</v>
      </c>
      <c r="D15" s="82">
        <v>3000</v>
      </c>
    </row>
    <row r="16" spans="2:4" ht="40.5">
      <c r="B16" s="347" t="s">
        <v>550</v>
      </c>
      <c r="C16" s="196" t="s">
        <v>551</v>
      </c>
      <c r="D16" s="82">
        <v>2000</v>
      </c>
    </row>
    <row r="17" spans="2:4" ht="15">
      <c r="B17" s="58"/>
      <c r="C17" s="348" t="s">
        <v>365</v>
      </c>
      <c r="D17" s="349">
        <f>SUM(D13:D16)</f>
        <v>10000</v>
      </c>
    </row>
    <row r="20" spans="2:5" ht="15">
      <c r="B20" s="609" t="s">
        <v>552</v>
      </c>
      <c r="C20" s="609"/>
      <c r="D20" s="609"/>
      <c r="E20" s="609"/>
    </row>
    <row r="21" spans="2:4" ht="15">
      <c r="B21" s="192"/>
      <c r="C21" s="192"/>
      <c r="D21" s="191"/>
    </row>
    <row r="22" spans="2:4" s="7" customFormat="1" ht="28.5" customHeight="1">
      <c r="B22" s="74" t="s">
        <v>126</v>
      </c>
      <c r="C22" s="74" t="s">
        <v>109</v>
      </c>
      <c r="D22" s="74" t="s">
        <v>133</v>
      </c>
    </row>
    <row r="23" spans="2:4" ht="15">
      <c r="B23" s="350" t="s">
        <v>544</v>
      </c>
      <c r="C23" s="196" t="s">
        <v>770</v>
      </c>
      <c r="D23" s="82">
        <v>14000</v>
      </c>
    </row>
    <row r="24" spans="2:4" ht="15">
      <c r="B24" s="350" t="s">
        <v>545</v>
      </c>
      <c r="C24" s="196" t="s">
        <v>771</v>
      </c>
      <c r="D24" s="82">
        <v>4000</v>
      </c>
    </row>
    <row r="25" spans="2:4" ht="15">
      <c r="B25" s="350" t="s">
        <v>546</v>
      </c>
      <c r="C25" s="196" t="s">
        <v>773</v>
      </c>
      <c r="D25" s="82">
        <v>20000</v>
      </c>
    </row>
    <row r="26" spans="2:4" ht="40.5">
      <c r="B26" s="415">
        <v>4</v>
      </c>
      <c r="C26" s="196" t="s">
        <v>772</v>
      </c>
      <c r="D26" s="82">
        <v>10000</v>
      </c>
    </row>
    <row r="27" spans="2:4" ht="27">
      <c r="B27" s="415">
        <v>5</v>
      </c>
      <c r="C27" s="196" t="s">
        <v>774</v>
      </c>
      <c r="D27" s="82">
        <v>7000</v>
      </c>
    </row>
    <row r="28" spans="2:4" ht="15">
      <c r="B28" s="58"/>
      <c r="C28" s="348" t="s">
        <v>365</v>
      </c>
      <c r="D28" s="349">
        <f>SUM(D23:D27)</f>
        <v>55000</v>
      </c>
    </row>
  </sheetData>
  <sheetProtection/>
  <mergeCells count="4">
    <mergeCell ref="B2:E2"/>
    <mergeCell ref="B4:E4"/>
    <mergeCell ref="B10:E10"/>
    <mergeCell ref="B20:E20"/>
  </mergeCell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E10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5.28125" style="1" customWidth="1"/>
    <col min="2" max="2" width="7.140625" style="1" customWidth="1"/>
    <col min="3" max="3" width="28.57421875" style="1" customWidth="1"/>
    <col min="4" max="4" width="18.57421875" style="1" customWidth="1"/>
    <col min="5" max="5" width="19.00390625" style="1" customWidth="1"/>
    <col min="6" max="16384" width="9.140625" style="1" customWidth="1"/>
  </cols>
  <sheetData>
    <row r="4" spans="2:5" ht="16.5">
      <c r="B4" s="561" t="s">
        <v>143</v>
      </c>
      <c r="C4" s="561"/>
      <c r="D4" s="561"/>
      <c r="E4" s="561"/>
    </row>
    <row r="5" spans="2:4" ht="15.75">
      <c r="B5" s="345"/>
      <c r="C5" s="345"/>
      <c r="D5" s="191"/>
    </row>
    <row r="6" spans="2:5" ht="15.75">
      <c r="B6" s="567" t="s">
        <v>553</v>
      </c>
      <c r="C6" s="567"/>
      <c r="D6" s="567"/>
      <c r="E6" s="567"/>
    </row>
    <row r="7" spans="2:4" ht="15.75">
      <c r="B7" s="345"/>
      <c r="C7" s="345"/>
      <c r="D7" s="191"/>
    </row>
    <row r="8" spans="2:5" ht="63.75">
      <c r="B8" s="18" t="s">
        <v>40</v>
      </c>
      <c r="C8" s="18" t="s">
        <v>41</v>
      </c>
      <c r="D8" s="75" t="s">
        <v>520</v>
      </c>
      <c r="E8" s="18" t="s">
        <v>547</v>
      </c>
    </row>
    <row r="9" spans="2:5" ht="24" customHeight="1">
      <c r="B9" s="27">
        <v>1</v>
      </c>
      <c r="C9" s="59" t="s">
        <v>49</v>
      </c>
      <c r="D9" s="246">
        <v>18336</v>
      </c>
      <c r="E9" s="154">
        <v>20000</v>
      </c>
    </row>
    <row r="10" spans="2:4" ht="15.75">
      <c r="B10" s="345"/>
      <c r="C10" s="345"/>
      <c r="D10" s="191"/>
    </row>
  </sheetData>
  <sheetProtection/>
  <mergeCells count="2">
    <mergeCell ref="B4:E4"/>
    <mergeCell ref="B6:E6"/>
  </mergeCells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E72"/>
  <sheetViews>
    <sheetView zoomScalePageLayoutView="0" workbookViewId="0" topLeftCell="A1">
      <selection activeCell="D53" sqref="D53"/>
    </sheetView>
  </sheetViews>
  <sheetFormatPr defaultColWidth="9.140625" defaultRowHeight="12.75"/>
  <cols>
    <col min="1" max="1" width="2.7109375" style="1" customWidth="1"/>
    <col min="2" max="2" width="12.00390625" style="1" customWidth="1"/>
    <col min="3" max="3" width="59.7109375" style="1" customWidth="1"/>
    <col min="4" max="4" width="11.421875" style="1" customWidth="1"/>
    <col min="5" max="5" width="8.140625" style="1" customWidth="1"/>
    <col min="6" max="16384" width="9.140625" style="1" customWidth="1"/>
  </cols>
  <sheetData>
    <row r="2" spans="2:5" ht="15.75">
      <c r="B2" s="568" t="s">
        <v>366</v>
      </c>
      <c r="C2" s="568"/>
      <c r="D2" s="568"/>
      <c r="E2" s="568"/>
    </row>
    <row r="3" spans="2:4" ht="15.75">
      <c r="B3" s="345"/>
      <c r="C3" s="345"/>
      <c r="D3" s="191"/>
    </row>
    <row r="4" spans="2:5" ht="15.75">
      <c r="B4" s="567" t="s">
        <v>49</v>
      </c>
      <c r="C4" s="567"/>
      <c r="D4" s="567"/>
      <c r="E4" s="351"/>
    </row>
    <row r="5" spans="2:5" ht="15">
      <c r="B5" s="610" t="s">
        <v>575</v>
      </c>
      <c r="C5" s="610"/>
      <c r="D5" s="610"/>
      <c r="E5" s="180"/>
    </row>
    <row r="6" spans="2:4" ht="15">
      <c r="B6" s="192"/>
      <c r="C6" s="192"/>
      <c r="D6" s="191"/>
    </row>
    <row r="7" spans="2:4" s="50" customFormat="1" ht="15" customHeight="1">
      <c r="B7" s="181" t="s">
        <v>137</v>
      </c>
      <c r="C7" s="181" t="s">
        <v>109</v>
      </c>
      <c r="D7" s="181" t="s">
        <v>133</v>
      </c>
    </row>
    <row r="8" spans="2:4" ht="30.75" customHeight="1">
      <c r="B8" s="352">
        <v>43214</v>
      </c>
      <c r="C8" s="247" t="s">
        <v>554</v>
      </c>
      <c r="D8" s="353">
        <v>30</v>
      </c>
    </row>
    <row r="9" spans="2:4" ht="27">
      <c r="B9" s="352">
        <v>43231</v>
      </c>
      <c r="C9" s="247" t="s">
        <v>555</v>
      </c>
      <c r="D9" s="353">
        <v>50</v>
      </c>
    </row>
    <row r="10" spans="2:4" ht="27">
      <c r="B10" s="352">
        <v>43237</v>
      </c>
      <c r="C10" s="247" t="s">
        <v>556</v>
      </c>
      <c r="D10" s="353">
        <v>30</v>
      </c>
    </row>
    <row r="11" spans="2:4" ht="27">
      <c r="B11" s="352">
        <v>43242</v>
      </c>
      <c r="C11" s="247" t="s">
        <v>557</v>
      </c>
      <c r="D11" s="353">
        <v>120</v>
      </c>
    </row>
    <row r="12" spans="2:4" ht="27">
      <c r="B12" s="352">
        <v>43249</v>
      </c>
      <c r="C12" s="247" t="s">
        <v>558</v>
      </c>
      <c r="D12" s="353">
        <v>50</v>
      </c>
    </row>
    <row r="13" spans="2:4" ht="27">
      <c r="B13" s="352">
        <v>43252</v>
      </c>
      <c r="C13" s="247" t="s">
        <v>559</v>
      </c>
      <c r="D13" s="353">
        <v>242</v>
      </c>
    </row>
    <row r="14" spans="2:4" ht="27">
      <c r="B14" s="352">
        <v>43252</v>
      </c>
      <c r="C14" s="247" t="s">
        <v>559</v>
      </c>
      <c r="D14" s="353">
        <v>50</v>
      </c>
    </row>
    <row r="15" spans="2:4" ht="27">
      <c r="B15" s="352">
        <v>43252</v>
      </c>
      <c r="C15" s="247" t="s">
        <v>560</v>
      </c>
      <c r="D15" s="353">
        <v>211</v>
      </c>
    </row>
    <row r="16" spans="2:4" ht="27">
      <c r="B16" s="352">
        <v>43252</v>
      </c>
      <c r="C16" s="247" t="s">
        <v>560</v>
      </c>
      <c r="D16" s="353">
        <v>50</v>
      </c>
    </row>
    <row r="17" spans="2:4" ht="27">
      <c r="B17" s="352">
        <v>43252</v>
      </c>
      <c r="C17" s="247" t="s">
        <v>561</v>
      </c>
      <c r="D17" s="353">
        <v>187</v>
      </c>
    </row>
    <row r="18" spans="2:4" ht="27">
      <c r="B18" s="352">
        <v>43252</v>
      </c>
      <c r="C18" s="247" t="s">
        <v>561</v>
      </c>
      <c r="D18" s="353">
        <v>50</v>
      </c>
    </row>
    <row r="19" spans="2:4" ht="31.5" customHeight="1">
      <c r="B19" s="352">
        <v>43255</v>
      </c>
      <c r="C19" s="247" t="s">
        <v>562</v>
      </c>
      <c r="D19" s="353">
        <v>310</v>
      </c>
    </row>
    <row r="20" spans="2:4" ht="40.5">
      <c r="B20" s="352">
        <v>43255</v>
      </c>
      <c r="C20" s="247" t="s">
        <v>563</v>
      </c>
      <c r="D20" s="353">
        <v>110</v>
      </c>
    </row>
    <row r="21" spans="2:4" ht="40.5">
      <c r="B21" s="352">
        <v>43255</v>
      </c>
      <c r="C21" s="247" t="s">
        <v>563</v>
      </c>
      <c r="D21" s="353">
        <v>50</v>
      </c>
    </row>
    <row r="22" spans="2:4" ht="27">
      <c r="B22" s="352">
        <v>43263</v>
      </c>
      <c r="C22" s="247" t="s">
        <v>564</v>
      </c>
      <c r="D22" s="353">
        <v>1196</v>
      </c>
    </row>
    <row r="23" spans="2:4" ht="27">
      <c r="B23" s="352">
        <v>43265</v>
      </c>
      <c r="C23" s="247" t="s">
        <v>565</v>
      </c>
      <c r="D23" s="353">
        <v>60</v>
      </c>
    </row>
    <row r="24" spans="2:4" ht="27">
      <c r="B24" s="352">
        <v>43272</v>
      </c>
      <c r="C24" s="247" t="s">
        <v>566</v>
      </c>
      <c r="D24" s="353">
        <v>280</v>
      </c>
    </row>
    <row r="25" spans="2:4" ht="27">
      <c r="B25" s="352">
        <v>43272</v>
      </c>
      <c r="C25" s="247" t="s">
        <v>567</v>
      </c>
      <c r="D25" s="353">
        <v>295</v>
      </c>
    </row>
    <row r="26" spans="2:4" ht="15">
      <c r="B26" s="352">
        <v>43284</v>
      </c>
      <c r="C26" s="247" t="s">
        <v>568</v>
      </c>
      <c r="D26" s="353">
        <v>220</v>
      </c>
    </row>
    <row r="27" spans="2:4" ht="40.5">
      <c r="B27" s="352">
        <v>43289</v>
      </c>
      <c r="C27" s="247" t="s">
        <v>569</v>
      </c>
      <c r="D27" s="353">
        <v>910</v>
      </c>
    </row>
    <row r="28" spans="2:4" ht="15">
      <c r="B28" s="352">
        <v>43313</v>
      </c>
      <c r="C28" s="247" t="s">
        <v>570</v>
      </c>
      <c r="D28" s="353">
        <v>50</v>
      </c>
    </row>
    <row r="29" spans="2:4" ht="27">
      <c r="B29" s="352">
        <v>43315</v>
      </c>
      <c r="C29" s="247" t="s">
        <v>571</v>
      </c>
      <c r="D29" s="353">
        <v>432</v>
      </c>
    </row>
    <row r="30" spans="2:4" ht="15">
      <c r="B30" s="352">
        <v>43323</v>
      </c>
      <c r="C30" s="247" t="s">
        <v>572</v>
      </c>
      <c r="D30" s="353">
        <v>50</v>
      </c>
    </row>
    <row r="31" spans="2:4" ht="15">
      <c r="B31" s="352">
        <v>43325</v>
      </c>
      <c r="C31" s="247" t="s">
        <v>404</v>
      </c>
      <c r="D31" s="353">
        <v>271</v>
      </c>
    </row>
    <row r="32" spans="2:4" ht="15">
      <c r="B32" s="352">
        <v>43349</v>
      </c>
      <c r="C32" s="247" t="s">
        <v>568</v>
      </c>
      <c r="D32" s="353">
        <v>1042</v>
      </c>
    </row>
    <row r="33" spans="2:4" ht="27">
      <c r="B33" s="352">
        <v>43354</v>
      </c>
      <c r="C33" s="247" t="s">
        <v>573</v>
      </c>
      <c r="D33" s="353">
        <v>600</v>
      </c>
    </row>
    <row r="34" spans="2:4" ht="15">
      <c r="B34" s="352">
        <v>43361</v>
      </c>
      <c r="C34" s="247" t="s">
        <v>574</v>
      </c>
      <c r="D34" s="353">
        <v>50</v>
      </c>
    </row>
    <row r="35" spans="2:4" ht="15">
      <c r="B35" s="354">
        <v>43374</v>
      </c>
      <c r="C35" s="355" t="s">
        <v>576</v>
      </c>
      <c r="D35" s="356">
        <v>135</v>
      </c>
    </row>
    <row r="36" spans="2:4" ht="15">
      <c r="B36" s="354">
        <v>43377</v>
      </c>
      <c r="C36" s="355" t="s">
        <v>594</v>
      </c>
      <c r="D36" s="356">
        <v>1225</v>
      </c>
    </row>
    <row r="37" spans="2:4" ht="40.5">
      <c r="B37" s="354">
        <v>43385</v>
      </c>
      <c r="C37" s="355" t="s">
        <v>577</v>
      </c>
      <c r="D37" s="356">
        <v>610</v>
      </c>
    </row>
    <row r="38" spans="2:4" ht="27">
      <c r="B38" s="354">
        <v>43390</v>
      </c>
      <c r="C38" s="355" t="s">
        <v>578</v>
      </c>
      <c r="D38" s="356">
        <v>350</v>
      </c>
    </row>
    <row r="39" spans="2:4" ht="15">
      <c r="B39" s="354">
        <v>43390</v>
      </c>
      <c r="C39" s="355" t="s">
        <v>579</v>
      </c>
      <c r="D39" s="356">
        <v>150</v>
      </c>
    </row>
    <row r="40" spans="2:4" ht="15">
      <c r="B40" s="354">
        <v>43390</v>
      </c>
      <c r="C40" s="355" t="s">
        <v>580</v>
      </c>
      <c r="D40" s="356">
        <v>200</v>
      </c>
    </row>
    <row r="41" spans="2:4" ht="27">
      <c r="B41" s="354">
        <v>43390</v>
      </c>
      <c r="C41" s="355" t="s">
        <v>581</v>
      </c>
      <c r="D41" s="356">
        <v>400</v>
      </c>
    </row>
    <row r="42" spans="2:4" ht="15">
      <c r="B42" s="354">
        <v>43392</v>
      </c>
      <c r="C42" s="355" t="s">
        <v>582</v>
      </c>
      <c r="D42" s="356">
        <v>50</v>
      </c>
    </row>
    <row r="43" spans="2:4" ht="15">
      <c r="B43" s="354">
        <v>43397</v>
      </c>
      <c r="C43" s="355" t="s">
        <v>593</v>
      </c>
      <c r="D43" s="356">
        <v>50</v>
      </c>
    </row>
    <row r="44" spans="2:4" ht="15">
      <c r="B44" s="354">
        <v>43399</v>
      </c>
      <c r="C44" s="355" t="s">
        <v>593</v>
      </c>
      <c r="D44" s="356">
        <v>50</v>
      </c>
    </row>
    <row r="45" spans="2:4" ht="27">
      <c r="B45" s="354">
        <v>43402</v>
      </c>
      <c r="C45" s="355" t="s">
        <v>583</v>
      </c>
      <c r="D45" s="356">
        <v>305</v>
      </c>
    </row>
    <row r="46" spans="2:4" ht="27">
      <c r="B46" s="354">
        <v>43405</v>
      </c>
      <c r="C46" s="355" t="s">
        <v>595</v>
      </c>
      <c r="D46" s="356">
        <v>50</v>
      </c>
    </row>
    <row r="47" spans="2:4" ht="27">
      <c r="B47" s="354">
        <v>43430</v>
      </c>
      <c r="C47" s="355" t="s">
        <v>597</v>
      </c>
      <c r="D47" s="356">
        <v>1084</v>
      </c>
    </row>
    <row r="48" spans="2:4" ht="27">
      <c r="B48" s="354">
        <v>43431</v>
      </c>
      <c r="C48" s="355" t="s">
        <v>596</v>
      </c>
      <c r="D48" s="356">
        <v>50</v>
      </c>
    </row>
    <row r="49" spans="2:4" ht="27">
      <c r="B49" s="354">
        <v>43431</v>
      </c>
      <c r="C49" s="355" t="s">
        <v>598</v>
      </c>
      <c r="D49" s="356">
        <v>85</v>
      </c>
    </row>
    <row r="50" spans="2:4" ht="15">
      <c r="B50" s="354">
        <v>43431</v>
      </c>
      <c r="C50" s="355" t="s">
        <v>584</v>
      </c>
      <c r="D50" s="356">
        <v>230</v>
      </c>
    </row>
    <row r="51" spans="2:4" ht="27">
      <c r="B51" s="354">
        <v>43433</v>
      </c>
      <c r="C51" s="355" t="s">
        <v>585</v>
      </c>
      <c r="D51" s="356">
        <v>200</v>
      </c>
    </row>
    <row r="52" spans="2:4" ht="27">
      <c r="B52" s="354">
        <v>43475</v>
      </c>
      <c r="C52" s="355" t="s">
        <v>599</v>
      </c>
      <c r="D52" s="356">
        <v>400</v>
      </c>
    </row>
    <row r="53" spans="2:4" ht="27">
      <c r="B53" s="354">
        <v>43486</v>
      </c>
      <c r="C53" s="355" t="s">
        <v>600</v>
      </c>
      <c r="D53" s="356">
        <v>1347</v>
      </c>
    </row>
    <row r="54" spans="2:4" ht="27">
      <c r="B54" s="354">
        <v>43490</v>
      </c>
      <c r="C54" s="355" t="s">
        <v>586</v>
      </c>
      <c r="D54" s="356">
        <v>180</v>
      </c>
    </row>
    <row r="55" spans="2:4" ht="15">
      <c r="B55" s="354">
        <v>43496</v>
      </c>
      <c r="C55" s="355" t="s">
        <v>601</v>
      </c>
      <c r="D55" s="356">
        <v>50</v>
      </c>
    </row>
    <row r="56" spans="2:4" ht="27">
      <c r="B56" s="354">
        <v>43496</v>
      </c>
      <c r="C56" s="355" t="s">
        <v>602</v>
      </c>
      <c r="D56" s="356">
        <v>50</v>
      </c>
    </row>
    <row r="57" spans="2:4" ht="27">
      <c r="B57" s="354">
        <v>43501</v>
      </c>
      <c r="C57" s="355" t="s">
        <v>603</v>
      </c>
      <c r="D57" s="356">
        <v>50</v>
      </c>
    </row>
    <row r="58" spans="2:4" ht="27">
      <c r="B58" s="354">
        <v>43503</v>
      </c>
      <c r="C58" s="355" t="s">
        <v>603</v>
      </c>
      <c r="D58" s="356">
        <v>50</v>
      </c>
    </row>
    <row r="59" spans="2:4" ht="15">
      <c r="B59" s="354">
        <v>43504</v>
      </c>
      <c r="C59" s="355" t="s">
        <v>568</v>
      </c>
      <c r="D59" s="356">
        <v>761</v>
      </c>
    </row>
    <row r="60" spans="2:4" ht="27">
      <c r="B60" s="354">
        <v>43509</v>
      </c>
      <c r="C60" s="355" t="s">
        <v>587</v>
      </c>
      <c r="D60" s="356">
        <v>220</v>
      </c>
    </row>
    <row r="61" spans="2:4" ht="27">
      <c r="B61" s="354">
        <v>43509</v>
      </c>
      <c r="C61" s="355" t="s">
        <v>588</v>
      </c>
      <c r="D61" s="356">
        <v>220</v>
      </c>
    </row>
    <row r="62" spans="2:4" ht="15">
      <c r="B62" s="357"/>
      <c r="C62" s="355" t="s">
        <v>589</v>
      </c>
      <c r="D62" s="356">
        <v>384</v>
      </c>
    </row>
    <row r="63" spans="2:4" ht="15">
      <c r="B63" s="358">
        <v>43530</v>
      </c>
      <c r="C63" s="355" t="s">
        <v>604</v>
      </c>
      <c r="D63" s="356">
        <v>50</v>
      </c>
    </row>
    <row r="64" spans="2:4" ht="15">
      <c r="B64" s="354">
        <v>43530</v>
      </c>
      <c r="C64" s="355" t="s">
        <v>568</v>
      </c>
      <c r="D64" s="356">
        <v>742</v>
      </c>
    </row>
    <row r="65" spans="2:4" ht="27">
      <c r="B65" s="354">
        <v>43544</v>
      </c>
      <c r="C65" s="355" t="s">
        <v>605</v>
      </c>
      <c r="D65" s="356">
        <v>145</v>
      </c>
    </row>
    <row r="66" spans="2:4" ht="15">
      <c r="B66" s="354">
        <v>43544</v>
      </c>
      <c r="C66" s="355" t="s">
        <v>568</v>
      </c>
      <c r="D66" s="356">
        <v>715</v>
      </c>
    </row>
    <row r="67" spans="2:4" ht="15">
      <c r="B67" s="354">
        <v>43544</v>
      </c>
      <c r="C67" s="355" t="s">
        <v>568</v>
      </c>
      <c r="D67" s="356">
        <v>212</v>
      </c>
    </row>
    <row r="68" spans="2:4" ht="27">
      <c r="B68" s="354">
        <v>43551</v>
      </c>
      <c r="C68" s="355" t="s">
        <v>590</v>
      </c>
      <c r="D68" s="356">
        <v>50</v>
      </c>
    </row>
    <row r="69" spans="2:4" ht="27">
      <c r="B69" s="354">
        <v>43552</v>
      </c>
      <c r="C69" s="355" t="s">
        <v>591</v>
      </c>
      <c r="D69" s="356">
        <v>300</v>
      </c>
    </row>
    <row r="70" spans="2:4" ht="15">
      <c r="B70" s="354">
        <v>43552</v>
      </c>
      <c r="C70" s="355" t="s">
        <v>592</v>
      </c>
      <c r="D70" s="356">
        <v>140</v>
      </c>
    </row>
    <row r="71" spans="2:4" ht="15">
      <c r="B71" s="354">
        <v>43552</v>
      </c>
      <c r="C71" s="355" t="s">
        <v>593</v>
      </c>
      <c r="D71" s="356">
        <v>50</v>
      </c>
    </row>
    <row r="72" spans="2:4" s="24" customFormat="1" ht="12.75">
      <c r="B72" s="70"/>
      <c r="C72" s="70" t="s">
        <v>27</v>
      </c>
      <c r="D72" s="245">
        <f>SUM(D8:D71)</f>
        <v>18336</v>
      </c>
    </row>
  </sheetData>
  <sheetProtection/>
  <mergeCells count="3">
    <mergeCell ref="B2:E2"/>
    <mergeCell ref="B4:D4"/>
    <mergeCell ref="B5:D5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E9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5.28125" style="1" customWidth="1"/>
    <col min="2" max="2" width="9.00390625" style="1" customWidth="1"/>
    <col min="3" max="3" width="37.421875" style="1" customWidth="1"/>
    <col min="4" max="4" width="17.8515625" style="1" customWidth="1"/>
    <col min="5" max="5" width="17.28125" style="1" customWidth="1"/>
    <col min="6" max="16384" width="9.140625" style="1" customWidth="1"/>
  </cols>
  <sheetData>
    <row r="2" spans="2:5" ht="16.5">
      <c r="B2" s="561" t="s">
        <v>145</v>
      </c>
      <c r="C2" s="561"/>
      <c r="D2" s="561"/>
      <c r="E2" s="561"/>
    </row>
    <row r="3" spans="2:4" ht="15.75">
      <c r="B3" s="345"/>
      <c r="C3" s="345"/>
      <c r="D3" s="191"/>
    </row>
    <row r="4" spans="2:5" ht="15.75">
      <c r="B4" s="567" t="s">
        <v>50</v>
      </c>
      <c r="C4" s="567"/>
      <c r="D4" s="567"/>
      <c r="E4" s="567"/>
    </row>
    <row r="5" spans="2:4" ht="15.75">
      <c r="B5" s="345"/>
      <c r="C5" s="345"/>
      <c r="D5" s="191"/>
    </row>
    <row r="6" spans="2:5" ht="63.75">
      <c r="B6" s="18" t="s">
        <v>40</v>
      </c>
      <c r="C6" s="18" t="s">
        <v>41</v>
      </c>
      <c r="D6" s="75" t="s">
        <v>520</v>
      </c>
      <c r="E6" s="18" t="s">
        <v>547</v>
      </c>
    </row>
    <row r="7" spans="2:5" ht="35.25" customHeight="1">
      <c r="B7" s="27">
        <v>1</v>
      </c>
      <c r="C7" s="59" t="s">
        <v>393</v>
      </c>
      <c r="D7" s="55">
        <v>0</v>
      </c>
      <c r="E7" s="2">
        <v>0</v>
      </c>
    </row>
    <row r="8" spans="2:5" ht="19.5" customHeight="1">
      <c r="B8" s="3"/>
      <c r="C8" s="41" t="s">
        <v>26</v>
      </c>
      <c r="D8" s="190">
        <f>SUM(D7:D7)</f>
        <v>0</v>
      </c>
      <c r="E8" s="190">
        <f>SUM(E7:E7)</f>
        <v>0</v>
      </c>
    </row>
    <row r="9" spans="2:4" ht="15.75">
      <c r="B9" s="345"/>
      <c r="C9" s="345"/>
      <c r="D9" s="191"/>
    </row>
  </sheetData>
  <sheetProtection/>
  <mergeCells count="2">
    <mergeCell ref="B2:E2"/>
    <mergeCell ref="B4:E4"/>
  </mergeCells>
  <printOptions/>
  <pageMargins left="0.7" right="0.7" top="0.75" bottom="0.75" header="0.3" footer="0.3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4:E26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7.57421875" style="1" customWidth="1"/>
    <col min="2" max="2" width="7.8515625" style="1" bestFit="1" customWidth="1"/>
    <col min="3" max="3" width="38.00390625" style="1" customWidth="1"/>
    <col min="4" max="4" width="18.421875" style="1" customWidth="1"/>
    <col min="5" max="5" width="18.57421875" style="1" customWidth="1"/>
    <col min="6" max="16384" width="9.140625" style="1" customWidth="1"/>
  </cols>
  <sheetData>
    <row r="4" spans="2:5" ht="16.5">
      <c r="B4" s="561" t="s">
        <v>144</v>
      </c>
      <c r="C4" s="561"/>
      <c r="D4" s="561"/>
      <c r="E4" s="561"/>
    </row>
    <row r="5" spans="2:5" ht="16.5">
      <c r="B5" s="53"/>
      <c r="C5" s="53"/>
      <c r="D5" s="53"/>
      <c r="E5" s="53"/>
    </row>
    <row r="6" spans="2:5" ht="16.5">
      <c r="B6" s="560" t="s">
        <v>390</v>
      </c>
      <c r="C6" s="560"/>
      <c r="D6" s="560"/>
      <c r="E6" s="560"/>
    </row>
    <row r="8" spans="2:5" ht="58.5" customHeight="1">
      <c r="B8" s="18" t="s">
        <v>40</v>
      </c>
      <c r="C8" s="18" t="s">
        <v>41</v>
      </c>
      <c r="D8" s="75" t="s">
        <v>520</v>
      </c>
      <c r="E8" s="18" t="s">
        <v>547</v>
      </c>
    </row>
    <row r="9" spans="2:5" s="4" customFormat="1" ht="34.5" customHeight="1">
      <c r="B9" s="27">
        <v>1</v>
      </c>
      <c r="C9" s="59" t="s">
        <v>606</v>
      </c>
      <c r="D9" s="55">
        <v>514</v>
      </c>
      <c r="E9" s="359">
        <v>5000</v>
      </c>
    </row>
    <row r="10" spans="2:5" s="4" customFormat="1" ht="19.5" customHeight="1">
      <c r="B10" s="3"/>
      <c r="C10" s="41" t="s">
        <v>26</v>
      </c>
      <c r="D10" s="190">
        <f>SUM(D9:D9)</f>
        <v>514</v>
      </c>
      <c r="E10" s="239">
        <f>SUM(E9:E9)</f>
        <v>5000</v>
      </c>
    </row>
    <row r="12" ht="15">
      <c r="C12" s="24" t="s">
        <v>607</v>
      </c>
    </row>
    <row r="13" spans="2:3" ht="15">
      <c r="B13" s="1">
        <v>1</v>
      </c>
      <c r="C13" s="1" t="s">
        <v>608</v>
      </c>
    </row>
    <row r="14" spans="2:3" ht="15">
      <c r="B14" s="1">
        <v>2</v>
      </c>
      <c r="C14" s="1" t="s">
        <v>609</v>
      </c>
    </row>
    <row r="15" spans="2:3" ht="15">
      <c r="B15" s="1">
        <v>3</v>
      </c>
      <c r="C15" s="1" t="s">
        <v>610</v>
      </c>
    </row>
    <row r="17" spans="2:5" ht="16.5">
      <c r="B17" s="560" t="s">
        <v>391</v>
      </c>
      <c r="C17" s="560"/>
      <c r="D17" s="560"/>
      <c r="E17" s="560"/>
    </row>
    <row r="19" spans="2:5" ht="63.75">
      <c r="B19" s="18" t="s">
        <v>40</v>
      </c>
      <c r="C19" s="18" t="s">
        <v>41</v>
      </c>
      <c r="D19" s="75" t="s">
        <v>520</v>
      </c>
      <c r="E19" s="18" t="s">
        <v>547</v>
      </c>
    </row>
    <row r="20" spans="2:5" s="4" customFormat="1" ht="19.5" customHeight="1">
      <c r="B20" s="2">
        <v>1</v>
      </c>
      <c r="C20" s="3" t="s">
        <v>611</v>
      </c>
      <c r="D20" s="3">
        <v>6000</v>
      </c>
      <c r="E20" s="3">
        <v>0</v>
      </c>
    </row>
    <row r="21" spans="2:5" s="4" customFormat="1" ht="19.5" customHeight="1">
      <c r="B21" s="2">
        <v>2</v>
      </c>
      <c r="C21" s="3" t="s">
        <v>612</v>
      </c>
      <c r="D21" s="3">
        <v>1400</v>
      </c>
      <c r="E21" s="3">
        <v>0</v>
      </c>
    </row>
    <row r="22" spans="2:5" s="4" customFormat="1" ht="19.5" customHeight="1">
      <c r="B22" s="2">
        <v>3</v>
      </c>
      <c r="C22" s="3" t="s">
        <v>613</v>
      </c>
      <c r="D22" s="3">
        <v>21600</v>
      </c>
      <c r="E22" s="3">
        <v>0</v>
      </c>
    </row>
    <row r="23" spans="2:5" s="4" customFormat="1" ht="27.75" customHeight="1">
      <c r="B23" s="2">
        <v>4</v>
      </c>
      <c r="C23" s="199" t="s">
        <v>614</v>
      </c>
      <c r="D23" s="3">
        <v>0</v>
      </c>
      <c r="E23" s="3">
        <v>100000</v>
      </c>
    </row>
    <row r="24" spans="2:5" s="34" customFormat="1" ht="19.5" customHeight="1">
      <c r="B24" s="41"/>
      <c r="C24" s="41" t="s">
        <v>26</v>
      </c>
      <c r="D24" s="41">
        <f>SUM(D20:D23)</f>
        <v>29000</v>
      </c>
      <c r="E24" s="41">
        <f>SUM(E20:E23)</f>
        <v>100000</v>
      </c>
    </row>
    <row r="26" spans="3:5" s="34" customFormat="1" ht="19.5" customHeight="1">
      <c r="C26" s="41" t="s">
        <v>369</v>
      </c>
      <c r="D26" s="238">
        <f>'[1]ANN-21 NESPAPAER &amp; PERIODICAL'!D24+'[1]ANN-21 NESPAPAER &amp; PERIODICAL'!D10</f>
        <v>29514</v>
      </c>
      <c r="E26" s="238">
        <f>E24+E10</f>
        <v>105000</v>
      </c>
    </row>
  </sheetData>
  <sheetProtection/>
  <mergeCells count="3">
    <mergeCell ref="B4:E4"/>
    <mergeCell ref="B6:E6"/>
    <mergeCell ref="B17:E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1"/>
  <rowBreaks count="6" manualBreakCount="6">
    <brk id="74" max="255" man="1"/>
    <brk id="104" max="255" man="1"/>
    <brk id="138" max="255" man="1"/>
    <brk id="173" max="255" man="1"/>
    <brk id="194" max="255" man="1"/>
    <brk id="225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A10">
      <selection activeCell="D7" sqref="D7"/>
    </sheetView>
  </sheetViews>
  <sheetFormatPr defaultColWidth="9.140625" defaultRowHeight="12.75"/>
  <cols>
    <col min="1" max="1" width="5.28125" style="1" customWidth="1"/>
    <col min="2" max="2" width="13.421875" style="1" customWidth="1"/>
    <col min="3" max="3" width="37.421875" style="1" customWidth="1"/>
    <col min="4" max="4" width="17.8515625" style="1" customWidth="1"/>
    <col min="5" max="5" width="17.28125" style="1" customWidth="1"/>
    <col min="6" max="16384" width="9.140625" style="1" customWidth="1"/>
  </cols>
  <sheetData>
    <row r="2" spans="2:5" ht="16.5">
      <c r="B2" s="561" t="s">
        <v>412</v>
      </c>
      <c r="C2" s="561"/>
      <c r="D2" s="561"/>
      <c r="E2" s="561"/>
    </row>
    <row r="3" spans="2:4" ht="15.75">
      <c r="B3" s="237"/>
      <c r="C3" s="237"/>
      <c r="D3" s="191"/>
    </row>
    <row r="4" spans="2:5" ht="15.75">
      <c r="B4" s="567" t="s">
        <v>394</v>
      </c>
      <c r="C4" s="567"/>
      <c r="D4" s="567"/>
      <c r="E4" s="567"/>
    </row>
    <row r="5" spans="2:4" ht="15.75">
      <c r="B5" s="237"/>
      <c r="C5" s="237"/>
      <c r="D5" s="191"/>
    </row>
    <row r="6" spans="2:5" ht="63.75">
      <c r="B6" s="18" t="s">
        <v>40</v>
      </c>
      <c r="C6" s="18" t="s">
        <v>41</v>
      </c>
      <c r="D6" s="75" t="s">
        <v>520</v>
      </c>
      <c r="E6" s="18" t="s">
        <v>547</v>
      </c>
    </row>
    <row r="7" spans="2:5" ht="35.25" customHeight="1">
      <c r="B7" s="27">
        <v>1</v>
      </c>
      <c r="C7" s="59" t="s">
        <v>615</v>
      </c>
      <c r="D7" s="360">
        <v>4912</v>
      </c>
      <c r="E7" s="300">
        <v>50000</v>
      </c>
    </row>
    <row r="8" spans="2:5" s="62" customFormat="1" ht="19.5" customHeight="1">
      <c r="B8" s="31"/>
      <c r="C8" s="86" t="s">
        <v>26</v>
      </c>
      <c r="D8" s="361">
        <f>SUM(D7:D7)</f>
        <v>4912</v>
      </c>
      <c r="E8" s="361">
        <f>SUM(E7:E7)</f>
        <v>50000</v>
      </c>
    </row>
    <row r="9" spans="2:4" ht="15.75">
      <c r="B9" s="237"/>
      <c r="C9" s="237"/>
      <c r="D9" s="191"/>
    </row>
    <row r="12" spans="2:4" ht="15.75">
      <c r="B12" s="237"/>
      <c r="C12" s="237"/>
      <c r="D12" s="191"/>
    </row>
    <row r="13" spans="2:4" ht="15">
      <c r="B13" s="611" t="s">
        <v>575</v>
      </c>
      <c r="C13" s="611"/>
      <c r="D13" s="611"/>
    </row>
    <row r="14" spans="2:4" ht="15">
      <c r="B14" s="192"/>
      <c r="C14" s="192"/>
      <c r="D14" s="191"/>
    </row>
    <row r="15" spans="2:4" ht="15">
      <c r="B15" s="74" t="s">
        <v>137</v>
      </c>
      <c r="C15" s="74" t="s">
        <v>109</v>
      </c>
      <c r="D15" s="194" t="s">
        <v>202</v>
      </c>
    </row>
    <row r="16" spans="2:4" ht="15">
      <c r="B16" s="240" t="s">
        <v>619</v>
      </c>
      <c r="C16" s="252" t="s">
        <v>616</v>
      </c>
      <c r="D16" s="251">
        <v>1100</v>
      </c>
    </row>
    <row r="17" spans="2:4" ht="15">
      <c r="B17" s="240" t="s">
        <v>620</v>
      </c>
      <c r="C17" s="252" t="s">
        <v>621</v>
      </c>
      <c r="D17" s="251">
        <v>2100</v>
      </c>
    </row>
    <row r="18" spans="2:4" ht="40.5">
      <c r="B18" s="240" t="s">
        <v>618</v>
      </c>
      <c r="C18" s="252" t="s">
        <v>617</v>
      </c>
      <c r="D18" s="251">
        <v>1712</v>
      </c>
    </row>
    <row r="19" spans="2:4" ht="15.75">
      <c r="B19" s="58"/>
      <c r="C19" s="102" t="s">
        <v>372</v>
      </c>
      <c r="D19" s="193">
        <f>SUM(D16:D18)</f>
        <v>4912</v>
      </c>
    </row>
  </sheetData>
  <sheetProtection/>
  <mergeCells count="3">
    <mergeCell ref="B2:E2"/>
    <mergeCell ref="B4:E4"/>
    <mergeCell ref="B13:D13"/>
  </mergeCells>
  <printOptions/>
  <pageMargins left="0.7" right="0.7" top="0.75" bottom="0.75" header="0.3" footer="0.3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E10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5.28125" style="1" customWidth="1"/>
    <col min="2" max="2" width="10.140625" style="1" customWidth="1"/>
    <col min="3" max="3" width="37.421875" style="1" customWidth="1"/>
    <col min="4" max="4" width="17.8515625" style="1" customWidth="1"/>
    <col min="5" max="5" width="17.28125" style="1" customWidth="1"/>
    <col min="6" max="16384" width="9.140625" style="1" customWidth="1"/>
  </cols>
  <sheetData>
    <row r="2" spans="2:5" ht="16.5">
      <c r="B2" s="561" t="s">
        <v>622</v>
      </c>
      <c r="C2" s="561"/>
      <c r="D2" s="561"/>
      <c r="E2" s="561"/>
    </row>
    <row r="3" spans="2:4" ht="15.75">
      <c r="B3" s="237"/>
      <c r="C3" s="237"/>
      <c r="D3" s="191"/>
    </row>
    <row r="4" spans="2:5" ht="15.75">
      <c r="B4" s="567" t="s">
        <v>395</v>
      </c>
      <c r="C4" s="567"/>
      <c r="D4" s="567"/>
      <c r="E4" s="567"/>
    </row>
    <row r="5" spans="2:4" ht="15.75">
      <c r="B5" s="237"/>
      <c r="C5" s="237"/>
      <c r="D5" s="191"/>
    </row>
    <row r="6" spans="2:5" ht="63.75">
      <c r="B6" s="18" t="s">
        <v>40</v>
      </c>
      <c r="C6" s="18" t="s">
        <v>41</v>
      </c>
      <c r="D6" s="75" t="s">
        <v>520</v>
      </c>
      <c r="E6" s="18" t="s">
        <v>547</v>
      </c>
    </row>
    <row r="7" spans="2:5" ht="35.25" customHeight="1">
      <c r="B7" s="2">
        <v>1</v>
      </c>
      <c r="C7" s="54" t="s">
        <v>623</v>
      </c>
      <c r="D7" s="300">
        <v>0</v>
      </c>
      <c r="E7" s="300">
        <v>50000</v>
      </c>
    </row>
    <row r="8" spans="2:5" ht="48" customHeight="1">
      <c r="B8" s="2">
        <v>2</v>
      </c>
      <c r="C8" s="54" t="s">
        <v>624</v>
      </c>
      <c r="D8" s="300">
        <v>62673</v>
      </c>
      <c r="E8" s="300">
        <v>75000</v>
      </c>
    </row>
    <row r="9" spans="2:5" ht="19.5" customHeight="1">
      <c r="B9" s="3"/>
      <c r="C9" s="41" t="s">
        <v>26</v>
      </c>
      <c r="D9" s="298">
        <f>SUM(D7:D8)</f>
        <v>62673</v>
      </c>
      <c r="E9" s="298">
        <f>SUM(E7:E8)</f>
        <v>125000</v>
      </c>
    </row>
    <row r="10" spans="2:4" ht="15.75">
      <c r="B10" s="237"/>
      <c r="C10" s="237"/>
      <c r="D10" s="191"/>
    </row>
  </sheetData>
  <sheetProtection/>
  <mergeCells count="2">
    <mergeCell ref="B2:E2"/>
    <mergeCell ref="B4:E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0.7109375" style="26" customWidth="1"/>
    <col min="2" max="2" width="11.421875" style="26" customWidth="1"/>
    <col min="3" max="3" width="13.57421875" style="26" customWidth="1"/>
    <col min="4" max="4" width="12.57421875" style="26" customWidth="1"/>
    <col min="5" max="5" width="11.28125" style="26" customWidth="1"/>
    <col min="6" max="6" width="10.8515625" style="26" customWidth="1"/>
    <col min="7" max="7" width="15.00390625" style="26" customWidth="1"/>
    <col min="8" max="8" width="15.421875" style="26" customWidth="1"/>
    <col min="9" max="10" width="16.140625" style="26" customWidth="1"/>
    <col min="11" max="11" width="16.28125" style="26" customWidth="1"/>
    <col min="12" max="12" width="14.7109375" style="26" customWidth="1"/>
    <col min="13" max="13" width="11.7109375" style="26" customWidth="1"/>
    <col min="14" max="14" width="15.140625" style="26" customWidth="1"/>
    <col min="15" max="15" width="10.140625" style="26" bestFit="1" customWidth="1"/>
    <col min="16" max="16384" width="9.140625" style="26" customWidth="1"/>
  </cols>
  <sheetData>
    <row r="1" spans="1:12" ht="15">
      <c r="A1" s="505" t="s">
        <v>79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121"/>
    </row>
    <row r="2" spans="1:12" ht="25.5" customHeight="1">
      <c r="A2" s="506" t="s">
        <v>320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121"/>
    </row>
    <row r="3" spans="1:12" ht="15">
      <c r="A3" s="271"/>
      <c r="B3" s="271"/>
      <c r="C3" s="271"/>
      <c r="D3" s="271"/>
      <c r="E3" s="271"/>
      <c r="F3" s="271"/>
      <c r="G3" s="271"/>
      <c r="H3" s="271"/>
      <c r="I3" s="271"/>
      <c r="J3" s="507" t="s">
        <v>324</v>
      </c>
      <c r="K3" s="507"/>
      <c r="L3" s="121"/>
    </row>
    <row r="4" spans="1:11" ht="15">
      <c r="A4" s="508" t="s">
        <v>442</v>
      </c>
      <c r="B4" s="508"/>
      <c r="C4" s="508"/>
      <c r="D4" s="508"/>
      <c r="E4" s="508"/>
      <c r="F4" s="508"/>
      <c r="G4" s="508"/>
      <c r="H4" s="508"/>
      <c r="I4" s="508"/>
      <c r="J4" s="508"/>
      <c r="K4" s="122"/>
    </row>
    <row r="5" spans="1:11" ht="15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1" s="21" customFormat="1" ht="15">
      <c r="A6" s="509" t="s">
        <v>104</v>
      </c>
      <c r="B6" s="509" t="s">
        <v>83</v>
      </c>
      <c r="C6" s="509" t="s">
        <v>84</v>
      </c>
      <c r="D6" s="509" t="s">
        <v>85</v>
      </c>
      <c r="E6" s="509" t="s">
        <v>86</v>
      </c>
      <c r="F6" s="509"/>
      <c r="G6" s="509" t="s">
        <v>87</v>
      </c>
      <c r="H6" s="509" t="s">
        <v>88</v>
      </c>
      <c r="I6" s="509" t="s">
        <v>89</v>
      </c>
      <c r="J6" s="509"/>
      <c r="K6" s="509"/>
    </row>
    <row r="7" spans="1:11" s="21" customFormat="1" ht="38.25">
      <c r="A7" s="509"/>
      <c r="B7" s="509"/>
      <c r="C7" s="509"/>
      <c r="D7" s="509"/>
      <c r="E7" s="273" t="s">
        <v>90</v>
      </c>
      <c r="F7" s="273" t="s">
        <v>91</v>
      </c>
      <c r="G7" s="509"/>
      <c r="H7" s="509"/>
      <c r="I7" s="126" t="s">
        <v>92</v>
      </c>
      <c r="J7" s="273" t="s">
        <v>93</v>
      </c>
      <c r="K7" s="273" t="s">
        <v>27</v>
      </c>
    </row>
    <row r="8" spans="1:18" s="30" customFormat="1" ht="19.5" customHeight="1">
      <c r="A8" s="510" t="s">
        <v>94</v>
      </c>
      <c r="B8" s="513">
        <v>120</v>
      </c>
      <c r="C8" s="274" t="s">
        <v>95</v>
      </c>
      <c r="D8" s="274">
        <v>3</v>
      </c>
      <c r="E8" s="274">
        <v>162690</v>
      </c>
      <c r="F8" s="274">
        <v>17310</v>
      </c>
      <c r="G8" s="275">
        <f aca="true" t="shared" si="0" ref="G8:G14">(E8+F8)*D8</f>
        <v>540000</v>
      </c>
      <c r="H8" s="516">
        <f>G15-(I15+J15)</f>
        <v>5160792</v>
      </c>
      <c r="I8" s="519">
        <v>251849</v>
      </c>
      <c r="J8" s="275">
        <f>81345*D8-81345</f>
        <v>162690</v>
      </c>
      <c r="K8" s="516">
        <f>I15+J15</f>
        <v>2579208</v>
      </c>
      <c r="Q8" s="276"/>
      <c r="R8" s="276"/>
    </row>
    <row r="9" spans="1:18" s="30" customFormat="1" ht="19.5" customHeight="1">
      <c r="A9" s="511"/>
      <c r="B9" s="514"/>
      <c r="C9" s="274" t="s">
        <v>96</v>
      </c>
      <c r="D9" s="274">
        <v>7</v>
      </c>
      <c r="E9" s="274">
        <v>162690</v>
      </c>
      <c r="F9" s="274">
        <v>17310</v>
      </c>
      <c r="G9" s="275">
        <f t="shared" si="0"/>
        <v>1260000</v>
      </c>
      <c r="H9" s="517"/>
      <c r="I9" s="520"/>
      <c r="J9" s="275">
        <f>(E9+F9)*D9-595786</f>
        <v>664214</v>
      </c>
      <c r="K9" s="517"/>
      <c r="Q9" s="276"/>
      <c r="R9" s="276"/>
    </row>
    <row r="10" spans="1:18" s="30" customFormat="1" ht="19.5" customHeight="1">
      <c r="A10" s="511"/>
      <c r="B10" s="514"/>
      <c r="C10" s="274" t="s">
        <v>97</v>
      </c>
      <c r="D10" s="274">
        <v>5</v>
      </c>
      <c r="E10" s="274">
        <v>162690</v>
      </c>
      <c r="F10" s="274">
        <v>17310</v>
      </c>
      <c r="G10" s="275">
        <f t="shared" si="0"/>
        <v>900000</v>
      </c>
      <c r="H10" s="517"/>
      <c r="I10" s="520"/>
      <c r="J10" s="275">
        <f>E10*D10-488070</f>
        <v>325380</v>
      </c>
      <c r="K10" s="517"/>
      <c r="Q10" s="276"/>
      <c r="R10" s="276"/>
    </row>
    <row r="11" spans="1:18" s="30" customFormat="1" ht="19.5" customHeight="1">
      <c r="A11" s="511"/>
      <c r="B11" s="514"/>
      <c r="C11" s="274" t="s">
        <v>98</v>
      </c>
      <c r="D11" s="274">
        <v>2</v>
      </c>
      <c r="E11" s="274">
        <v>162690</v>
      </c>
      <c r="F11" s="274">
        <v>17310</v>
      </c>
      <c r="G11" s="275">
        <f t="shared" si="0"/>
        <v>360000</v>
      </c>
      <c r="H11" s="517"/>
      <c r="I11" s="520"/>
      <c r="J11" s="275">
        <f>E11*D11</f>
        <v>325380</v>
      </c>
      <c r="K11" s="517"/>
      <c r="Q11" s="276"/>
      <c r="R11" s="276"/>
    </row>
    <row r="12" spans="1:18" s="30" customFormat="1" ht="19.5" customHeight="1">
      <c r="A12" s="511"/>
      <c r="B12" s="514"/>
      <c r="C12" s="274" t="s">
        <v>99</v>
      </c>
      <c r="D12" s="274">
        <v>0</v>
      </c>
      <c r="E12" s="274">
        <v>162690</v>
      </c>
      <c r="F12" s="274">
        <v>17310</v>
      </c>
      <c r="G12" s="275">
        <f t="shared" si="0"/>
        <v>0</v>
      </c>
      <c r="H12" s="517"/>
      <c r="I12" s="520"/>
      <c r="J12" s="275">
        <f>E12*D12</f>
        <v>0</v>
      </c>
      <c r="K12" s="517"/>
      <c r="Q12" s="276"/>
      <c r="R12" s="276"/>
    </row>
    <row r="13" spans="1:18" s="30" customFormat="1" ht="19.5" customHeight="1">
      <c r="A13" s="511"/>
      <c r="B13" s="514"/>
      <c r="C13" s="274" t="s">
        <v>100</v>
      </c>
      <c r="D13" s="274">
        <v>5</v>
      </c>
      <c r="E13" s="274">
        <v>162690</v>
      </c>
      <c r="F13" s="274">
        <v>17310</v>
      </c>
      <c r="G13" s="275">
        <f t="shared" si="0"/>
        <v>900000</v>
      </c>
      <c r="H13" s="517"/>
      <c r="I13" s="520"/>
      <c r="J13" s="275">
        <v>0</v>
      </c>
      <c r="K13" s="517"/>
      <c r="Q13" s="276"/>
      <c r="R13" s="276"/>
    </row>
    <row r="14" spans="1:18" s="30" customFormat="1" ht="19.5" customHeight="1">
      <c r="A14" s="512"/>
      <c r="B14" s="515"/>
      <c r="C14" s="274" t="s">
        <v>434</v>
      </c>
      <c r="D14" s="274">
        <v>21</v>
      </c>
      <c r="E14" s="274">
        <v>162690</v>
      </c>
      <c r="F14" s="274">
        <v>17310</v>
      </c>
      <c r="G14" s="275">
        <f t="shared" si="0"/>
        <v>3780000</v>
      </c>
      <c r="H14" s="518"/>
      <c r="I14" s="521"/>
      <c r="J14" s="275">
        <f>E14/2*D14-858550</f>
        <v>849695</v>
      </c>
      <c r="K14" s="518"/>
      <c r="M14" s="276"/>
      <c r="Q14" s="276"/>
      <c r="R14" s="276"/>
    </row>
    <row r="15" spans="1:18" s="30" customFormat="1" ht="19.5" customHeight="1">
      <c r="A15" s="277" t="s">
        <v>27</v>
      </c>
      <c r="B15" s="277"/>
      <c r="C15" s="277"/>
      <c r="D15" s="277">
        <f>SUM(D8:D14)</f>
        <v>43</v>
      </c>
      <c r="E15" s="274"/>
      <c r="F15" s="274"/>
      <c r="G15" s="278">
        <f>SUM(G8:G14)</f>
        <v>7740000</v>
      </c>
      <c r="H15" s="278">
        <f>SUM(H8:H14)</f>
        <v>5160792</v>
      </c>
      <c r="I15" s="278">
        <f>SUM(I8:I14)</f>
        <v>251849</v>
      </c>
      <c r="J15" s="278">
        <f>SUM(J8:J14)</f>
        <v>2327359</v>
      </c>
      <c r="K15" s="278">
        <f>SUM(K8:K14)</f>
        <v>2579208</v>
      </c>
      <c r="Q15" s="276"/>
      <c r="R15" s="276"/>
    </row>
    <row r="16" spans="1:18" s="30" customFormat="1" ht="19.5" customHeight="1">
      <c r="A16" s="510" t="s">
        <v>101</v>
      </c>
      <c r="B16" s="513">
        <v>120</v>
      </c>
      <c r="C16" s="274" t="s">
        <v>95</v>
      </c>
      <c r="D16" s="274">
        <v>18</v>
      </c>
      <c r="E16" s="274">
        <v>130455</v>
      </c>
      <c r="F16" s="274">
        <v>13045</v>
      </c>
      <c r="G16" s="275">
        <f aca="true" t="shared" si="1" ref="G16:G21">(E16+F16)*D16</f>
        <v>2583000</v>
      </c>
      <c r="H16" s="516">
        <f>G23-(I23+J23)</f>
        <v>11463030</v>
      </c>
      <c r="I16" s="519">
        <v>958344</v>
      </c>
      <c r="J16" s="275">
        <f>65227*D16-521820</f>
        <v>652266</v>
      </c>
      <c r="K16" s="522">
        <f>I23+J23</f>
        <v>4465470</v>
      </c>
      <c r="Q16" s="276"/>
      <c r="R16" s="276"/>
    </row>
    <row r="17" spans="1:18" s="30" customFormat="1" ht="19.5" customHeight="1">
      <c r="A17" s="511"/>
      <c r="B17" s="514"/>
      <c r="C17" s="274" t="s">
        <v>96</v>
      </c>
      <c r="D17" s="274">
        <v>24</v>
      </c>
      <c r="E17" s="274">
        <v>130455</v>
      </c>
      <c r="F17" s="274">
        <v>13045</v>
      </c>
      <c r="G17" s="275">
        <f t="shared" si="1"/>
        <v>3444000</v>
      </c>
      <c r="H17" s="517"/>
      <c r="I17" s="520"/>
      <c r="J17" s="275">
        <f>(E17+F17)*D17-(1571438+70650)</f>
        <v>1801912</v>
      </c>
      <c r="K17" s="523"/>
      <c r="Q17" s="276"/>
      <c r="R17" s="276"/>
    </row>
    <row r="18" spans="1:18" s="30" customFormat="1" ht="19.5" customHeight="1">
      <c r="A18" s="511"/>
      <c r="B18" s="514"/>
      <c r="C18" s="274" t="s">
        <v>97</v>
      </c>
      <c r="D18" s="274">
        <v>8</v>
      </c>
      <c r="E18" s="274">
        <v>130455</v>
      </c>
      <c r="F18" s="274">
        <v>13045</v>
      </c>
      <c r="G18" s="275">
        <f t="shared" si="1"/>
        <v>1148000</v>
      </c>
      <c r="H18" s="517"/>
      <c r="I18" s="520"/>
      <c r="J18" s="275">
        <f>E18*D18-514622</f>
        <v>529018</v>
      </c>
      <c r="K18" s="523"/>
      <c r="Q18" s="276"/>
      <c r="R18" s="276"/>
    </row>
    <row r="19" spans="1:18" s="30" customFormat="1" ht="19.5" customHeight="1">
      <c r="A19" s="511"/>
      <c r="B19" s="514"/>
      <c r="C19" s="274" t="s">
        <v>98</v>
      </c>
      <c r="D19" s="274">
        <v>0</v>
      </c>
      <c r="E19" s="274">
        <v>130455</v>
      </c>
      <c r="F19" s="274">
        <v>13045</v>
      </c>
      <c r="G19" s="275">
        <f t="shared" si="1"/>
        <v>0</v>
      </c>
      <c r="H19" s="517"/>
      <c r="I19" s="520"/>
      <c r="J19" s="275">
        <f>E19*D19</f>
        <v>0</v>
      </c>
      <c r="K19" s="523"/>
      <c r="Q19" s="276"/>
      <c r="R19" s="276"/>
    </row>
    <row r="20" spans="1:18" s="30" customFormat="1" ht="19.5" customHeight="1">
      <c r="A20" s="511"/>
      <c r="B20" s="514"/>
      <c r="C20" s="274" t="s">
        <v>99</v>
      </c>
      <c r="D20" s="274">
        <v>0</v>
      </c>
      <c r="E20" s="274">
        <v>130455</v>
      </c>
      <c r="F20" s="274">
        <v>13045</v>
      </c>
      <c r="G20" s="275">
        <f t="shared" si="1"/>
        <v>0</v>
      </c>
      <c r="H20" s="517"/>
      <c r="I20" s="520"/>
      <c r="J20" s="275">
        <f>E20*D20</f>
        <v>0</v>
      </c>
      <c r="K20" s="523"/>
      <c r="Q20" s="276"/>
      <c r="R20" s="276"/>
    </row>
    <row r="21" spans="1:18" s="30" customFormat="1" ht="19.5" customHeight="1">
      <c r="A21" s="511"/>
      <c r="B21" s="514"/>
      <c r="C21" s="274" t="s">
        <v>100</v>
      </c>
      <c r="D21" s="274">
        <v>46</v>
      </c>
      <c r="E21" s="274">
        <v>130455</v>
      </c>
      <c r="F21" s="274">
        <v>13045</v>
      </c>
      <c r="G21" s="275">
        <f t="shared" si="1"/>
        <v>6601000</v>
      </c>
      <c r="H21" s="517"/>
      <c r="I21" s="520"/>
      <c r="J21" s="275">
        <v>0</v>
      </c>
      <c r="K21" s="523"/>
      <c r="Q21" s="276"/>
      <c r="R21" s="276"/>
    </row>
    <row r="22" spans="1:18" s="30" customFormat="1" ht="19.5" customHeight="1">
      <c r="A22" s="512"/>
      <c r="B22" s="515"/>
      <c r="C22" s="274" t="s">
        <v>434</v>
      </c>
      <c r="D22" s="274">
        <v>15</v>
      </c>
      <c r="E22" s="274">
        <v>130455</v>
      </c>
      <c r="F22" s="274">
        <v>13045</v>
      </c>
      <c r="G22" s="275">
        <f>(E22+F22)*D22</f>
        <v>2152500</v>
      </c>
      <c r="H22" s="518"/>
      <c r="I22" s="521"/>
      <c r="J22" s="275">
        <f>65227*D22-454475</f>
        <v>523930</v>
      </c>
      <c r="K22" s="524"/>
      <c r="Q22" s="276"/>
      <c r="R22" s="276"/>
    </row>
    <row r="23" spans="1:18" s="30" customFormat="1" ht="19.5" customHeight="1">
      <c r="A23" s="277" t="s">
        <v>27</v>
      </c>
      <c r="B23" s="277"/>
      <c r="C23" s="277"/>
      <c r="D23" s="277">
        <f>SUM(D16:D22)</f>
        <v>111</v>
      </c>
      <c r="E23" s="274"/>
      <c r="F23" s="274"/>
      <c r="G23" s="278">
        <f>SUM(G16:G22)</f>
        <v>15928500</v>
      </c>
      <c r="H23" s="278">
        <f>SUM(H16:H22)</f>
        <v>11463030</v>
      </c>
      <c r="I23" s="278">
        <f>SUM(I16:I22)</f>
        <v>958344</v>
      </c>
      <c r="J23" s="278">
        <f>SUM(J16:J22)</f>
        <v>3507126</v>
      </c>
      <c r="K23" s="278">
        <f>SUM(K16:K22)</f>
        <v>4465470</v>
      </c>
      <c r="Q23" s="276"/>
      <c r="R23" s="276"/>
    </row>
    <row r="24" spans="1:11" s="30" customFormat="1" ht="19.5" customHeight="1">
      <c r="A24" s="510" t="s">
        <v>102</v>
      </c>
      <c r="B24" s="513">
        <v>180</v>
      </c>
      <c r="C24" s="274" t="s">
        <v>95</v>
      </c>
      <c r="D24" s="274">
        <v>1</v>
      </c>
      <c r="E24" s="274">
        <v>85573</v>
      </c>
      <c r="F24" s="274">
        <v>8557</v>
      </c>
      <c r="G24" s="275">
        <f aca="true" t="shared" si="2" ref="G24:G30">(E24+F24)*D24</f>
        <v>94130</v>
      </c>
      <c r="H24" s="516">
        <f>G32-(I32+J32)</f>
        <v>682544</v>
      </c>
      <c r="I24" s="519">
        <v>45020</v>
      </c>
      <c r="J24" s="275">
        <f>42786*D24-21393</f>
        <v>21393</v>
      </c>
      <c r="K24" s="516">
        <f>I32+J32</f>
        <v>179686</v>
      </c>
    </row>
    <row r="25" spans="1:11" s="30" customFormat="1" ht="19.5" customHeight="1">
      <c r="A25" s="511"/>
      <c r="B25" s="514"/>
      <c r="C25" s="274" t="s">
        <v>96</v>
      </c>
      <c r="D25" s="274">
        <v>1</v>
      </c>
      <c r="E25" s="274">
        <v>85573</v>
      </c>
      <c r="F25" s="274">
        <v>8557</v>
      </c>
      <c r="G25" s="275">
        <f t="shared" si="2"/>
        <v>94130</v>
      </c>
      <c r="H25" s="517"/>
      <c r="I25" s="520"/>
      <c r="J25" s="275">
        <f>(E25+F25)*D25-46256</f>
        <v>47874</v>
      </c>
      <c r="K25" s="517"/>
    </row>
    <row r="26" spans="1:11" s="30" customFormat="1" ht="19.5" customHeight="1">
      <c r="A26" s="511"/>
      <c r="B26" s="514"/>
      <c r="C26" s="274" t="s">
        <v>97</v>
      </c>
      <c r="D26" s="274">
        <v>1</v>
      </c>
      <c r="E26" s="274">
        <v>85573</v>
      </c>
      <c r="F26" s="274">
        <v>8557</v>
      </c>
      <c r="G26" s="275">
        <f t="shared" si="2"/>
        <v>94130</v>
      </c>
      <c r="H26" s="517"/>
      <c r="I26" s="520"/>
      <c r="J26" s="275">
        <f>E26*D26-(42786+41565)</f>
        <v>1222</v>
      </c>
      <c r="K26" s="517"/>
    </row>
    <row r="27" spans="1:11" s="30" customFormat="1" ht="19.5" customHeight="1">
      <c r="A27" s="511"/>
      <c r="B27" s="514"/>
      <c r="C27" s="274" t="s">
        <v>98</v>
      </c>
      <c r="D27" s="274">
        <v>0</v>
      </c>
      <c r="E27" s="274">
        <v>85573</v>
      </c>
      <c r="F27" s="274">
        <v>8557</v>
      </c>
      <c r="G27" s="275">
        <f t="shared" si="2"/>
        <v>0</v>
      </c>
      <c r="H27" s="517"/>
      <c r="I27" s="520"/>
      <c r="J27" s="275">
        <f>E27*D27</f>
        <v>0</v>
      </c>
      <c r="K27" s="517"/>
    </row>
    <row r="28" spans="1:11" s="30" customFormat="1" ht="19.5" customHeight="1">
      <c r="A28" s="511"/>
      <c r="B28" s="514"/>
      <c r="C28" s="274" t="s">
        <v>99</v>
      </c>
      <c r="D28" s="274">
        <v>0</v>
      </c>
      <c r="E28" s="274">
        <v>85573</v>
      </c>
      <c r="F28" s="274">
        <v>8557</v>
      </c>
      <c r="G28" s="275">
        <f t="shared" si="2"/>
        <v>0</v>
      </c>
      <c r="H28" s="517"/>
      <c r="I28" s="520"/>
      <c r="J28" s="275">
        <f>E28*D28</f>
        <v>0</v>
      </c>
      <c r="K28" s="517"/>
    </row>
    <row r="29" spans="1:11" s="30" customFormat="1" ht="19.5" customHeight="1">
      <c r="A29" s="511"/>
      <c r="B29" s="514"/>
      <c r="C29" s="274" t="s">
        <v>100</v>
      </c>
      <c r="D29" s="274">
        <v>2</v>
      </c>
      <c r="E29" s="274">
        <v>85573</v>
      </c>
      <c r="F29" s="274">
        <v>8557</v>
      </c>
      <c r="G29" s="275">
        <f t="shared" si="2"/>
        <v>188260</v>
      </c>
      <c r="H29" s="517"/>
      <c r="I29" s="520"/>
      <c r="J29" s="275">
        <v>0</v>
      </c>
      <c r="K29" s="517"/>
    </row>
    <row r="30" spans="1:11" s="30" customFormat="1" ht="19.5" customHeight="1">
      <c r="A30" s="511"/>
      <c r="B30" s="514"/>
      <c r="C30" s="129" t="s">
        <v>435</v>
      </c>
      <c r="D30" s="274">
        <v>2</v>
      </c>
      <c r="E30" s="274">
        <v>92419</v>
      </c>
      <c r="F30" s="274">
        <v>9241</v>
      </c>
      <c r="G30" s="275">
        <f t="shared" si="2"/>
        <v>203320</v>
      </c>
      <c r="H30" s="517"/>
      <c r="I30" s="520"/>
      <c r="J30" s="275">
        <v>0</v>
      </c>
      <c r="K30" s="517"/>
    </row>
    <row r="31" spans="1:11" s="30" customFormat="1" ht="19.5" customHeight="1">
      <c r="A31" s="512"/>
      <c r="B31" s="515"/>
      <c r="C31" s="129" t="s">
        <v>434</v>
      </c>
      <c r="D31" s="274">
        <v>2</v>
      </c>
      <c r="E31" s="274">
        <v>85573</v>
      </c>
      <c r="F31" s="274">
        <v>8557</v>
      </c>
      <c r="G31" s="275">
        <f>(E31+F31)*D31</f>
        <v>188260</v>
      </c>
      <c r="H31" s="518"/>
      <c r="I31" s="521"/>
      <c r="J31" s="275">
        <f>42786*D31-21395</f>
        <v>64177</v>
      </c>
      <c r="K31" s="518"/>
    </row>
    <row r="32" spans="1:11" s="30" customFormat="1" ht="19.5" customHeight="1">
      <c r="A32" s="277" t="s">
        <v>27</v>
      </c>
      <c r="B32" s="277"/>
      <c r="C32" s="277"/>
      <c r="D32" s="277">
        <f>SUM(D24:D31)</f>
        <v>9</v>
      </c>
      <c r="E32" s="274"/>
      <c r="F32" s="274"/>
      <c r="G32" s="278">
        <f>SUM(G24:G31)</f>
        <v>862230</v>
      </c>
      <c r="H32" s="278">
        <f>SUM(H24:H31)</f>
        <v>682544</v>
      </c>
      <c r="I32" s="278">
        <f>SUM(I24:I31)</f>
        <v>45020</v>
      </c>
      <c r="J32" s="278">
        <f>SUM(J24:J31)</f>
        <v>134666</v>
      </c>
      <c r="K32" s="278">
        <f>SUM(K24:K31)</f>
        <v>179686</v>
      </c>
    </row>
    <row r="33" spans="1:16" s="30" customFormat="1" ht="19.5" customHeight="1">
      <c r="A33" s="274"/>
      <c r="B33" s="274"/>
      <c r="C33" s="274"/>
      <c r="D33" s="274" t="s">
        <v>79</v>
      </c>
      <c r="E33" s="274"/>
      <c r="F33" s="274"/>
      <c r="G33" s="279"/>
      <c r="H33" s="279"/>
      <c r="I33" s="279"/>
      <c r="J33" s="279"/>
      <c r="K33" s="279"/>
      <c r="L33" s="280"/>
      <c r="M33" s="280"/>
      <c r="N33" s="280"/>
      <c r="O33" s="280"/>
      <c r="P33" s="280"/>
    </row>
    <row r="34" spans="1:16" s="30" customFormat="1" ht="19.5" customHeight="1">
      <c r="A34" s="526" t="s">
        <v>103</v>
      </c>
      <c r="B34" s="526"/>
      <c r="C34" s="526"/>
      <c r="D34" s="281">
        <f>D32+D23+D15</f>
        <v>163</v>
      </c>
      <c r="E34" s="277"/>
      <c r="F34" s="277"/>
      <c r="G34" s="278">
        <f>G32+G23+G15</f>
        <v>24530730</v>
      </c>
      <c r="H34" s="278">
        <f>H32+H23+H15</f>
        <v>17306366</v>
      </c>
      <c r="I34" s="278">
        <f>I32+I23+I15</f>
        <v>1255213</v>
      </c>
      <c r="J34" s="278">
        <f>J32+J23+J15</f>
        <v>5969151</v>
      </c>
      <c r="K34" s="278">
        <f>K32+K23+K15</f>
        <v>7224364</v>
      </c>
      <c r="L34" s="280"/>
      <c r="M34" s="280"/>
      <c r="N34" s="280"/>
      <c r="O34" s="280"/>
      <c r="P34" s="280"/>
    </row>
    <row r="35" spans="1:16" ht="15">
      <c r="A35" s="282"/>
      <c r="B35" s="282"/>
      <c r="C35" s="282"/>
      <c r="D35" s="283"/>
      <c r="E35" s="283"/>
      <c r="F35" s="283"/>
      <c r="G35" s="284"/>
      <c r="H35" s="284"/>
      <c r="I35" s="284"/>
      <c r="J35" s="284"/>
      <c r="K35" s="284"/>
      <c r="L35" s="121"/>
      <c r="M35" s="121"/>
      <c r="N35" s="121"/>
      <c r="O35" s="121"/>
      <c r="P35" s="121"/>
    </row>
    <row r="36" spans="1:16" s="30" customFormat="1" ht="15">
      <c r="A36" s="285"/>
      <c r="B36" s="286"/>
      <c r="C36" s="286"/>
      <c r="D36" s="287"/>
      <c r="E36" s="286"/>
      <c r="F36" s="286"/>
      <c r="G36" s="280"/>
      <c r="H36" s="286"/>
      <c r="I36" s="288"/>
      <c r="J36" s="289"/>
      <c r="K36" s="290"/>
      <c r="L36" s="280"/>
      <c r="M36" s="280"/>
      <c r="N36" s="280"/>
      <c r="O36" s="280"/>
      <c r="P36" s="280"/>
    </row>
    <row r="37" spans="1:16" s="321" customFormat="1" ht="15">
      <c r="A37" s="320"/>
      <c r="B37" s="531" t="s">
        <v>109</v>
      </c>
      <c r="C37" s="531"/>
      <c r="D37" s="531"/>
      <c r="E37" s="531"/>
      <c r="F37" s="531"/>
      <c r="G37" s="322" t="s">
        <v>501</v>
      </c>
      <c r="H37" s="323"/>
      <c r="I37" s="324"/>
      <c r="J37" s="319"/>
      <c r="K37" s="319"/>
      <c r="L37" s="320"/>
      <c r="M37" s="320"/>
      <c r="N37" s="320"/>
      <c r="O37" s="320"/>
      <c r="P37" s="320"/>
    </row>
    <row r="38" spans="2:11" s="30" customFormat="1" ht="15">
      <c r="B38" s="502" t="s">
        <v>321</v>
      </c>
      <c r="C38" s="503"/>
      <c r="D38" s="503"/>
      <c r="E38" s="503"/>
      <c r="F38" s="504"/>
      <c r="G38" s="292">
        <f>H34</f>
        <v>17306366</v>
      </c>
      <c r="H38" s="325"/>
      <c r="I38" s="326"/>
      <c r="J38" s="318"/>
      <c r="K38" s="293"/>
    </row>
    <row r="39" spans="2:11" s="30" customFormat="1" ht="15">
      <c r="B39" s="502" t="s">
        <v>822</v>
      </c>
      <c r="C39" s="503"/>
      <c r="D39" s="503"/>
      <c r="E39" s="503"/>
      <c r="F39" s="504"/>
      <c r="G39" s="292">
        <v>5330151</v>
      </c>
      <c r="H39" s="325"/>
      <c r="I39" s="326"/>
      <c r="J39" s="318"/>
      <c r="K39" s="293"/>
    </row>
    <row r="40" spans="2:14" s="30" customFormat="1" ht="15">
      <c r="B40" s="502" t="s">
        <v>322</v>
      </c>
      <c r="C40" s="503"/>
      <c r="D40" s="503"/>
      <c r="E40" s="503"/>
      <c r="F40" s="504"/>
      <c r="G40" s="292">
        <f>I34</f>
        <v>1255213</v>
      </c>
      <c r="H40" s="325"/>
      <c r="I40" s="127"/>
      <c r="J40" s="128"/>
      <c r="K40" s="123"/>
      <c r="N40" s="127">
        <v>8527080</v>
      </c>
    </row>
    <row r="41" spans="2:14" s="30" customFormat="1" ht="15">
      <c r="B41" s="502" t="s">
        <v>323</v>
      </c>
      <c r="C41" s="503"/>
      <c r="D41" s="503"/>
      <c r="E41" s="503"/>
      <c r="F41" s="504"/>
      <c r="G41" s="292">
        <f>J34-G42</f>
        <v>4531349</v>
      </c>
      <c r="H41" s="291"/>
      <c r="J41" s="128"/>
      <c r="K41" s="123"/>
      <c r="N41" s="127">
        <v>2772222</v>
      </c>
    </row>
    <row r="42" spans="2:14" s="30" customFormat="1" ht="15">
      <c r="B42" s="502" t="s">
        <v>436</v>
      </c>
      <c r="C42" s="503"/>
      <c r="D42" s="503"/>
      <c r="E42" s="503"/>
      <c r="F42" s="504"/>
      <c r="G42" s="292">
        <f>J14+J22+J31</f>
        <v>1437802</v>
      </c>
      <c r="H42" s="291"/>
      <c r="J42" s="128"/>
      <c r="K42" s="123"/>
      <c r="N42" s="142">
        <f>SUM(N40:N41)</f>
        <v>11299302</v>
      </c>
    </row>
    <row r="43" spans="1:19" s="22" customFormat="1" ht="19.5" customHeight="1">
      <c r="A43" s="30"/>
      <c r="B43" s="124"/>
      <c r="C43" s="124"/>
      <c r="D43" s="124"/>
      <c r="E43" s="124"/>
      <c r="F43" s="124"/>
      <c r="G43" s="124"/>
      <c r="H43" s="124"/>
      <c r="I43" s="127"/>
      <c r="J43" s="128"/>
      <c r="K43" s="123"/>
      <c r="L43" s="131"/>
      <c r="R43" s="132"/>
      <c r="S43" s="132"/>
    </row>
    <row r="44" spans="1:19" s="22" customFormat="1" ht="19.5" customHeight="1">
      <c r="A44" s="30"/>
      <c r="B44" s="124"/>
      <c r="C44" s="124"/>
      <c r="D44" s="124"/>
      <c r="E44" s="124"/>
      <c r="F44" s="124"/>
      <c r="G44" s="124"/>
      <c r="H44" s="124"/>
      <c r="I44" s="127"/>
      <c r="J44" s="128"/>
      <c r="K44" s="123"/>
      <c r="L44" s="131"/>
      <c r="R44" s="132"/>
      <c r="S44" s="132"/>
    </row>
    <row r="45" spans="1:19" s="22" customFormat="1" ht="19.5" customHeight="1">
      <c r="A45" s="30"/>
      <c r="B45" s="124"/>
      <c r="C45" s="124"/>
      <c r="D45" s="124"/>
      <c r="E45" s="124"/>
      <c r="F45" s="124"/>
      <c r="G45" s="124"/>
      <c r="H45" s="124"/>
      <c r="I45" s="127"/>
      <c r="J45" s="507" t="s">
        <v>324</v>
      </c>
      <c r="K45" s="507"/>
      <c r="L45" s="131"/>
      <c r="R45" s="132"/>
      <c r="S45" s="132"/>
    </row>
    <row r="46" spans="1:19" s="22" customFormat="1" ht="19.5" customHeight="1">
      <c r="A46" s="508" t="s">
        <v>437</v>
      </c>
      <c r="B46" s="508"/>
      <c r="C46" s="508"/>
      <c r="D46" s="508"/>
      <c r="E46" s="508"/>
      <c r="F46" s="508"/>
      <c r="G46" s="508"/>
      <c r="H46" s="508"/>
      <c r="I46" s="508"/>
      <c r="J46" s="508"/>
      <c r="K46" s="508"/>
      <c r="L46" s="131"/>
      <c r="R46" s="132"/>
      <c r="S46" s="132"/>
    </row>
    <row r="47" spans="1:19" s="22" customFormat="1" ht="19.5" customHeight="1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31"/>
      <c r="R47" s="132"/>
      <c r="S47" s="132"/>
    </row>
    <row r="48" spans="1:19" s="22" customFormat="1" ht="27" customHeight="1">
      <c r="A48" s="527" t="s">
        <v>104</v>
      </c>
      <c r="B48" s="527" t="s">
        <v>83</v>
      </c>
      <c r="C48" s="527" t="s">
        <v>84</v>
      </c>
      <c r="D48" s="527" t="s">
        <v>85</v>
      </c>
      <c r="E48" s="529" t="s">
        <v>86</v>
      </c>
      <c r="F48" s="530"/>
      <c r="G48" s="527" t="s">
        <v>87</v>
      </c>
      <c r="H48" s="544" t="s">
        <v>89</v>
      </c>
      <c r="I48" s="545"/>
      <c r="J48" s="546"/>
      <c r="K48" s="21"/>
      <c r="L48" s="131"/>
      <c r="R48" s="132"/>
      <c r="S48" s="132"/>
    </row>
    <row r="49" spans="1:19" s="22" customFormat="1" ht="36.75" customHeight="1">
      <c r="A49" s="528"/>
      <c r="B49" s="528"/>
      <c r="C49" s="528"/>
      <c r="D49" s="528"/>
      <c r="E49" s="273" t="s">
        <v>90</v>
      </c>
      <c r="F49" s="273" t="s">
        <v>91</v>
      </c>
      <c r="G49" s="528"/>
      <c r="H49" s="126" t="s">
        <v>92</v>
      </c>
      <c r="I49" s="273" t="s">
        <v>93</v>
      </c>
      <c r="J49" s="273" t="s">
        <v>27</v>
      </c>
      <c r="K49" s="21"/>
      <c r="L49" s="131"/>
      <c r="R49" s="132"/>
      <c r="S49" s="132"/>
    </row>
    <row r="50" spans="1:19" s="22" customFormat="1" ht="19.5" customHeight="1">
      <c r="A50" s="256" t="s">
        <v>94</v>
      </c>
      <c r="B50" s="257">
        <v>60</v>
      </c>
      <c r="C50" s="129" t="s">
        <v>100</v>
      </c>
      <c r="D50" s="129">
        <v>60</v>
      </c>
      <c r="E50" s="129">
        <v>162690</v>
      </c>
      <c r="F50" s="129">
        <v>17310</v>
      </c>
      <c r="G50" s="130">
        <f>(E50+F50)*D50</f>
        <v>10800000</v>
      </c>
      <c r="H50" s="258">
        <f>G51-I51</f>
        <v>10800000</v>
      </c>
      <c r="I50" s="272">
        <v>0</v>
      </c>
      <c r="J50" s="259">
        <f>H51+I51</f>
        <v>10800000</v>
      </c>
      <c r="L50" s="131"/>
      <c r="R50" s="132"/>
      <c r="S50" s="132"/>
    </row>
    <row r="51" spans="1:18" s="22" customFormat="1" ht="19.5" customHeight="1">
      <c r="A51" s="133" t="s">
        <v>27</v>
      </c>
      <c r="B51" s="134"/>
      <c r="C51" s="135"/>
      <c r="D51" s="136">
        <f>SUM(D50:D50)</f>
        <v>60</v>
      </c>
      <c r="E51" s="129"/>
      <c r="F51" s="129"/>
      <c r="G51" s="137">
        <f>SUM(G50:G50)</f>
        <v>10800000</v>
      </c>
      <c r="H51" s="223">
        <f>H50</f>
        <v>10800000</v>
      </c>
      <c r="I51" s="223">
        <f>SUM(I50:I50)</f>
        <v>0</v>
      </c>
      <c r="J51" s="223">
        <f>J50</f>
        <v>10800000</v>
      </c>
      <c r="L51" s="138"/>
      <c r="Q51" s="132"/>
      <c r="R51" s="132"/>
    </row>
    <row r="52" spans="1:18" s="22" customFormat="1" ht="19.5" customHeight="1">
      <c r="A52" s="532" t="s">
        <v>101</v>
      </c>
      <c r="B52" s="535">
        <v>180</v>
      </c>
      <c r="C52" s="129" t="s">
        <v>95</v>
      </c>
      <c r="D52" s="274">
        <v>3</v>
      </c>
      <c r="E52" s="129">
        <v>162690</v>
      </c>
      <c r="F52" s="129">
        <v>17310</v>
      </c>
      <c r="G52" s="130">
        <f>(E52+F52)*D52</f>
        <v>540000</v>
      </c>
      <c r="H52" s="538">
        <f>G59-I59</f>
        <v>3290235</v>
      </c>
      <c r="I52" s="272">
        <f>81345*D52</f>
        <v>244035</v>
      </c>
      <c r="J52" s="541">
        <f>H59+I59</f>
        <v>7740000</v>
      </c>
      <c r="L52" s="131"/>
      <c r="Q52" s="132"/>
      <c r="R52" s="132"/>
    </row>
    <row r="53" spans="1:18" s="22" customFormat="1" ht="19.5" customHeight="1">
      <c r="A53" s="533"/>
      <c r="B53" s="536"/>
      <c r="C53" s="129" t="s">
        <v>96</v>
      </c>
      <c r="D53" s="274">
        <v>8</v>
      </c>
      <c r="E53" s="129">
        <v>162690</v>
      </c>
      <c r="F53" s="129">
        <v>17310</v>
      </c>
      <c r="G53" s="130">
        <f aca="true" t="shared" si="3" ref="G53:G58">(E53+F53)*D53</f>
        <v>1440000</v>
      </c>
      <c r="H53" s="539"/>
      <c r="I53" s="222">
        <f>(E53+F53)*D53</f>
        <v>1440000</v>
      </c>
      <c r="J53" s="542"/>
      <c r="L53" s="138"/>
      <c r="Q53" s="132"/>
      <c r="R53" s="132"/>
    </row>
    <row r="54" spans="1:12" s="22" customFormat="1" ht="19.5" customHeight="1">
      <c r="A54" s="533"/>
      <c r="B54" s="536"/>
      <c r="C54" s="129" t="s">
        <v>97</v>
      </c>
      <c r="D54" s="274">
        <v>4</v>
      </c>
      <c r="E54" s="129">
        <v>162690</v>
      </c>
      <c r="F54" s="129">
        <v>17310</v>
      </c>
      <c r="G54" s="130">
        <f t="shared" si="3"/>
        <v>720000</v>
      </c>
      <c r="H54" s="539"/>
      <c r="I54" s="222">
        <f>E54*D54</f>
        <v>650760</v>
      </c>
      <c r="J54" s="542"/>
      <c r="L54" s="131"/>
    </row>
    <row r="55" spans="1:12" s="22" customFormat="1" ht="19.5" customHeight="1">
      <c r="A55" s="533"/>
      <c r="B55" s="536"/>
      <c r="C55" s="129" t="s">
        <v>98</v>
      </c>
      <c r="D55" s="274">
        <v>2</v>
      </c>
      <c r="E55" s="129">
        <v>162690</v>
      </c>
      <c r="F55" s="129">
        <v>17310</v>
      </c>
      <c r="G55" s="130">
        <f t="shared" si="3"/>
        <v>360000</v>
      </c>
      <c r="H55" s="539"/>
      <c r="I55" s="222">
        <f>E55*D55</f>
        <v>325380</v>
      </c>
      <c r="J55" s="542"/>
      <c r="L55" s="131"/>
    </row>
    <row r="56" spans="1:12" s="22" customFormat="1" ht="19.5" customHeight="1">
      <c r="A56" s="533"/>
      <c r="B56" s="536"/>
      <c r="C56" s="129" t="s">
        <v>99</v>
      </c>
      <c r="D56" s="274">
        <v>0</v>
      </c>
      <c r="E56" s="129">
        <v>162690</v>
      </c>
      <c r="F56" s="129">
        <v>17310</v>
      </c>
      <c r="G56" s="130">
        <f t="shared" si="3"/>
        <v>0</v>
      </c>
      <c r="H56" s="539"/>
      <c r="I56" s="222">
        <f>E56*D56</f>
        <v>0</v>
      </c>
      <c r="J56" s="542"/>
      <c r="L56" s="131"/>
    </row>
    <row r="57" spans="1:12" s="22" customFormat="1" ht="19.5" customHeight="1">
      <c r="A57" s="534"/>
      <c r="B57" s="537"/>
      <c r="C57" s="129" t="s">
        <v>100</v>
      </c>
      <c r="D57" s="274">
        <v>4</v>
      </c>
      <c r="E57" s="129">
        <v>162690</v>
      </c>
      <c r="F57" s="129">
        <v>17310</v>
      </c>
      <c r="G57" s="130">
        <f t="shared" si="3"/>
        <v>720000</v>
      </c>
      <c r="H57" s="539"/>
      <c r="I57" s="222">
        <v>0</v>
      </c>
      <c r="J57" s="542"/>
      <c r="L57" s="131"/>
    </row>
    <row r="58" spans="1:12" s="22" customFormat="1" ht="19.5" customHeight="1">
      <c r="A58" s="294"/>
      <c r="B58" s="295"/>
      <c r="C58" s="129" t="s">
        <v>434</v>
      </c>
      <c r="D58" s="274">
        <v>22</v>
      </c>
      <c r="E58" s="129">
        <v>162690</v>
      </c>
      <c r="F58" s="129">
        <v>17310</v>
      </c>
      <c r="G58" s="130">
        <f t="shared" si="3"/>
        <v>3960000</v>
      </c>
      <c r="H58" s="540"/>
      <c r="I58" s="222">
        <f>81345*D58</f>
        <v>1789590</v>
      </c>
      <c r="J58" s="543"/>
      <c r="L58" s="131"/>
    </row>
    <row r="59" spans="1:12" s="22" customFormat="1" ht="19.5" customHeight="1">
      <c r="A59" s="133" t="s">
        <v>27</v>
      </c>
      <c r="B59" s="134"/>
      <c r="C59" s="135"/>
      <c r="D59" s="136">
        <f>SUM(D52:D58)</f>
        <v>43</v>
      </c>
      <c r="E59" s="129"/>
      <c r="F59" s="129"/>
      <c r="G59" s="137">
        <f>SUM(G52:G58)</f>
        <v>7740000</v>
      </c>
      <c r="H59" s="223">
        <f>H52</f>
        <v>3290235</v>
      </c>
      <c r="I59" s="223">
        <f>SUM(I52:I58)</f>
        <v>4449765</v>
      </c>
      <c r="J59" s="223">
        <f>J52</f>
        <v>7740000</v>
      </c>
      <c r="L59" s="131"/>
    </row>
    <row r="60" spans="1:11" ht="19.5" customHeight="1">
      <c r="A60" s="139"/>
      <c r="B60" s="139"/>
      <c r="C60" s="139"/>
      <c r="D60" s="139" t="s">
        <v>79</v>
      </c>
      <c r="E60" s="139"/>
      <c r="F60" s="139"/>
      <c r="G60" s="140"/>
      <c r="H60" s="224"/>
      <c r="I60" s="224"/>
      <c r="J60" s="224"/>
      <c r="K60" s="22"/>
    </row>
    <row r="61" spans="1:11" ht="19.5" customHeight="1">
      <c r="A61" s="525" t="s">
        <v>103</v>
      </c>
      <c r="B61" s="525"/>
      <c r="C61" s="525"/>
      <c r="D61" s="141">
        <f>D59+D51</f>
        <v>103</v>
      </c>
      <c r="E61" s="136"/>
      <c r="F61" s="136"/>
      <c r="G61" s="137">
        <f>G59+G51</f>
        <v>18540000</v>
      </c>
      <c r="H61" s="137">
        <f>H59+H51</f>
        <v>14090235</v>
      </c>
      <c r="I61" s="137">
        <f>I59+I51</f>
        <v>4449765</v>
      </c>
      <c r="J61" s="137">
        <f>J59+J51</f>
        <v>18540000</v>
      </c>
      <c r="K61" s="22"/>
    </row>
  </sheetData>
  <sheetProtection/>
  <mergeCells count="48">
    <mergeCell ref="A46:K46"/>
    <mergeCell ref="A48:A49"/>
    <mergeCell ref="B48:B49"/>
    <mergeCell ref="B37:F37"/>
    <mergeCell ref="A52:A57"/>
    <mergeCell ref="B52:B57"/>
    <mergeCell ref="H52:H58"/>
    <mergeCell ref="J52:J58"/>
    <mergeCell ref="H48:J48"/>
    <mergeCell ref="B38:F38"/>
    <mergeCell ref="A61:C61"/>
    <mergeCell ref="A24:A31"/>
    <mergeCell ref="B24:B31"/>
    <mergeCell ref="H24:H31"/>
    <mergeCell ref="I24:I31"/>
    <mergeCell ref="A34:C34"/>
    <mergeCell ref="C48:C49"/>
    <mergeCell ref="D48:D49"/>
    <mergeCell ref="E48:F48"/>
    <mergeCell ref="G48:G49"/>
    <mergeCell ref="B40:F40"/>
    <mergeCell ref="B41:F41"/>
    <mergeCell ref="B42:F42"/>
    <mergeCell ref="J45:K45"/>
    <mergeCell ref="K16:K22"/>
    <mergeCell ref="A16:A22"/>
    <mergeCell ref="B16:B22"/>
    <mergeCell ref="H16:H22"/>
    <mergeCell ref="I16:I22"/>
    <mergeCell ref="K24:K31"/>
    <mergeCell ref="G6:G7"/>
    <mergeCell ref="H6:H7"/>
    <mergeCell ref="I6:K6"/>
    <mergeCell ref="A8:A14"/>
    <mergeCell ref="B8:B14"/>
    <mergeCell ref="H8:H14"/>
    <mergeCell ref="I8:I14"/>
    <mergeCell ref="K8:K14"/>
    <mergeCell ref="B39:F39"/>
    <mergeCell ref="A1:K1"/>
    <mergeCell ref="A2:K2"/>
    <mergeCell ref="J3:K3"/>
    <mergeCell ref="A4:J4"/>
    <mergeCell ref="A6:A7"/>
    <mergeCell ref="B6:B7"/>
    <mergeCell ref="C6:C7"/>
    <mergeCell ref="D6:D7"/>
    <mergeCell ref="E6:F6"/>
  </mergeCells>
  <printOptions/>
  <pageMargins left="0.3" right="0.25" top="0.75" bottom="0.75" header="0.3" footer="0.3"/>
  <pageSetup horizontalDpi="600" verticalDpi="600" orientation="landscape" scale="64" r:id="rId1"/>
  <rowBreaks count="1" manualBreakCount="1">
    <brk id="42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B2:D14"/>
  <sheetViews>
    <sheetView zoomScalePageLayoutView="0" workbookViewId="0" topLeftCell="A10">
      <selection activeCell="C19" sqref="C19"/>
    </sheetView>
  </sheetViews>
  <sheetFormatPr defaultColWidth="9.140625" defaultRowHeight="12.75"/>
  <cols>
    <col min="1" max="1" width="12.8515625" style="1" customWidth="1"/>
    <col min="2" max="2" width="14.00390625" style="1" customWidth="1"/>
    <col min="3" max="3" width="40.7109375" style="1" customWidth="1"/>
    <col min="4" max="4" width="12.57421875" style="1" customWidth="1"/>
    <col min="5" max="16384" width="9.140625" style="1" customWidth="1"/>
  </cols>
  <sheetData>
    <row r="2" spans="2:4" ht="15.75">
      <c r="B2" s="568" t="s">
        <v>370</v>
      </c>
      <c r="C2" s="568"/>
      <c r="D2" s="568"/>
    </row>
    <row r="3" spans="2:4" ht="15.75">
      <c r="B3" s="237"/>
      <c r="C3" s="237"/>
      <c r="D3" s="191"/>
    </row>
    <row r="4" spans="2:4" ht="15">
      <c r="B4" s="611" t="s">
        <v>575</v>
      </c>
      <c r="C4" s="611"/>
      <c r="D4" s="611"/>
    </row>
    <row r="6" spans="2:4" ht="15">
      <c r="B6" s="612" t="s">
        <v>625</v>
      </c>
      <c r="C6" s="612"/>
      <c r="D6" s="612"/>
    </row>
    <row r="8" spans="2:4" ht="24">
      <c r="B8" s="74" t="s">
        <v>137</v>
      </c>
      <c r="C8" s="74" t="s">
        <v>109</v>
      </c>
      <c r="D8" s="194" t="s">
        <v>202</v>
      </c>
    </row>
    <row r="9" spans="2:4" ht="31.5" customHeight="1">
      <c r="B9" s="241" t="s">
        <v>619</v>
      </c>
      <c r="C9" s="242" t="s">
        <v>626</v>
      </c>
      <c r="D9" s="243">
        <v>22000</v>
      </c>
    </row>
    <row r="10" spans="2:4" ht="15">
      <c r="B10" s="241" t="s">
        <v>627</v>
      </c>
      <c r="C10" s="242" t="s">
        <v>409</v>
      </c>
      <c r="D10" s="243">
        <v>9511</v>
      </c>
    </row>
    <row r="11" spans="2:4" ht="27">
      <c r="B11" s="241" t="s">
        <v>627</v>
      </c>
      <c r="C11" s="242" t="s">
        <v>410</v>
      </c>
      <c r="D11" s="243">
        <v>28000</v>
      </c>
    </row>
    <row r="12" spans="2:4" ht="15">
      <c r="B12" s="241" t="s">
        <v>627</v>
      </c>
      <c r="C12" s="242" t="s">
        <v>411</v>
      </c>
      <c r="D12" s="243">
        <v>1500</v>
      </c>
    </row>
    <row r="13" spans="2:4" ht="27">
      <c r="B13" s="241" t="s">
        <v>629</v>
      </c>
      <c r="C13" s="242" t="s">
        <v>628</v>
      </c>
      <c r="D13" s="243">
        <v>1662</v>
      </c>
    </row>
    <row r="14" spans="2:4" ht="15.75">
      <c r="B14" s="58"/>
      <c r="C14" s="102" t="s">
        <v>372</v>
      </c>
      <c r="D14" s="193">
        <f>SUM(D9:D13)</f>
        <v>62673</v>
      </c>
    </row>
  </sheetData>
  <sheetProtection/>
  <mergeCells count="3">
    <mergeCell ref="B2:D2"/>
    <mergeCell ref="B4:D4"/>
    <mergeCell ref="B6:D6"/>
  </mergeCells>
  <printOptions/>
  <pageMargins left="0.7" right="0.7" top="0.75" bottom="0.75" header="0.3" footer="0.3"/>
  <pageSetup horizontalDpi="600" verticalDpi="600" orientation="portrait" scale="9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7:E13"/>
  <sheetViews>
    <sheetView zoomScalePageLayoutView="0" workbookViewId="0" topLeftCell="A4">
      <selection activeCell="D11" sqref="D11:E12"/>
    </sheetView>
  </sheetViews>
  <sheetFormatPr defaultColWidth="9.140625" defaultRowHeight="12.75"/>
  <cols>
    <col min="1" max="2" width="9.140625" style="1" customWidth="1"/>
    <col min="3" max="3" width="20.57421875" style="1" customWidth="1"/>
    <col min="4" max="4" width="23.57421875" style="1" customWidth="1"/>
    <col min="5" max="5" width="20.140625" style="1" customWidth="1"/>
    <col min="6" max="16384" width="9.140625" style="1" customWidth="1"/>
  </cols>
  <sheetData>
    <row r="7" spans="2:5" ht="16.5">
      <c r="B7" s="561" t="s">
        <v>396</v>
      </c>
      <c r="C7" s="561"/>
      <c r="D7" s="561"/>
      <c r="E7" s="561"/>
    </row>
    <row r="8" spans="2:5" ht="16.5">
      <c r="B8" s="53"/>
      <c r="C8" s="53"/>
      <c r="D8" s="53"/>
      <c r="E8" s="53"/>
    </row>
    <row r="9" spans="2:5" ht="16.5">
      <c r="B9" s="560" t="s">
        <v>299</v>
      </c>
      <c r="C9" s="560"/>
      <c r="D9" s="560"/>
      <c r="E9" s="560"/>
    </row>
    <row r="11" spans="2:5" s="24" customFormat="1" ht="38.25">
      <c r="B11" s="18" t="s">
        <v>40</v>
      </c>
      <c r="C11" s="18" t="s">
        <v>41</v>
      </c>
      <c r="D11" s="75" t="s">
        <v>520</v>
      </c>
      <c r="E11" s="18" t="s">
        <v>547</v>
      </c>
    </row>
    <row r="12" spans="2:5" s="4" customFormat="1" ht="19.5" customHeight="1">
      <c r="B12" s="27">
        <v>1</v>
      </c>
      <c r="C12" s="77" t="s">
        <v>72</v>
      </c>
      <c r="D12" s="328">
        <v>20284</v>
      </c>
      <c r="E12" s="363">
        <v>25000</v>
      </c>
    </row>
    <row r="13" spans="2:5" s="4" customFormat="1" ht="19.5" customHeight="1">
      <c r="B13" s="32"/>
      <c r="C13" s="32" t="s">
        <v>26</v>
      </c>
      <c r="D13" s="364">
        <f>SUM(D12:D12)</f>
        <v>20284</v>
      </c>
      <c r="E13" s="364">
        <f>SUM(E12:E12)</f>
        <v>25000</v>
      </c>
    </row>
  </sheetData>
  <sheetProtection/>
  <mergeCells count="2">
    <mergeCell ref="B7:E7"/>
    <mergeCell ref="B9:E9"/>
  </mergeCells>
  <printOptions/>
  <pageMargins left="0.7" right="0.7" top="0.75" bottom="0.75" header="0.3" footer="0.3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4"/>
  <sheetViews>
    <sheetView zoomScalePageLayoutView="0" workbookViewId="0" topLeftCell="A52">
      <selection activeCell="D34" sqref="D34"/>
    </sheetView>
  </sheetViews>
  <sheetFormatPr defaultColWidth="9.140625" defaultRowHeight="12.75"/>
  <cols>
    <col min="1" max="1" width="6.140625" style="1" customWidth="1"/>
    <col min="2" max="2" width="14.00390625" style="1" customWidth="1"/>
    <col min="3" max="3" width="45.140625" style="1" customWidth="1"/>
    <col min="4" max="4" width="12.57421875" style="1" customWidth="1"/>
    <col min="5" max="16384" width="9.140625" style="1" customWidth="1"/>
  </cols>
  <sheetData>
    <row r="2" spans="2:4" ht="15.75">
      <c r="B2" s="568" t="s">
        <v>370</v>
      </c>
      <c r="C2" s="568"/>
      <c r="D2" s="568"/>
    </row>
    <row r="3" spans="2:4" ht="15.75">
      <c r="B3" s="346"/>
      <c r="C3" s="346"/>
      <c r="D3" s="191"/>
    </row>
    <row r="4" spans="2:4" ht="15.75">
      <c r="B4" s="567" t="s">
        <v>226</v>
      </c>
      <c r="C4" s="567"/>
      <c r="D4" s="567"/>
    </row>
    <row r="5" spans="2:4" ht="15.75">
      <c r="B5" s="346"/>
      <c r="C5" s="346"/>
      <c r="D5" s="191"/>
    </row>
    <row r="6" spans="2:4" ht="15">
      <c r="B6" s="613" t="s">
        <v>575</v>
      </c>
      <c r="C6" s="613"/>
      <c r="D6" s="613"/>
    </row>
    <row r="7" spans="2:4" ht="15">
      <c r="B7" s="192"/>
      <c r="C7" s="192"/>
      <c r="D7" s="191"/>
    </row>
    <row r="8" spans="2:4" s="50" customFormat="1" ht="24.75" customHeight="1">
      <c r="B8" s="181" t="s">
        <v>137</v>
      </c>
      <c r="C8" s="181" t="s">
        <v>109</v>
      </c>
      <c r="D8" s="230" t="s">
        <v>202</v>
      </c>
    </row>
    <row r="9" spans="2:4" s="4" customFormat="1" ht="19.5" customHeight="1">
      <c r="B9" s="365">
        <v>43217</v>
      </c>
      <c r="C9" s="366" t="s">
        <v>630</v>
      </c>
      <c r="D9" s="367">
        <v>229</v>
      </c>
    </row>
    <row r="10" spans="2:4" s="4" customFormat="1" ht="19.5" customHeight="1">
      <c r="B10" s="365">
        <v>43230</v>
      </c>
      <c r="C10" s="366" t="s">
        <v>631</v>
      </c>
      <c r="D10" s="367">
        <v>32</v>
      </c>
    </row>
    <row r="11" spans="2:4" s="4" customFormat="1" ht="19.5" customHeight="1">
      <c r="B11" s="365">
        <v>43231</v>
      </c>
      <c r="C11" s="366" t="s">
        <v>632</v>
      </c>
      <c r="D11" s="367">
        <v>200</v>
      </c>
    </row>
    <row r="12" spans="2:4" s="4" customFormat="1" ht="19.5" customHeight="1">
      <c r="B12" s="365">
        <v>43242</v>
      </c>
      <c r="C12" s="366" t="s">
        <v>633</v>
      </c>
      <c r="D12" s="367">
        <v>42.37</v>
      </c>
    </row>
    <row r="13" spans="2:4" s="4" customFormat="1" ht="28.5" customHeight="1">
      <c r="B13" s="368">
        <v>43249</v>
      </c>
      <c r="C13" s="366" t="s">
        <v>634</v>
      </c>
      <c r="D13" s="367">
        <v>200</v>
      </c>
    </row>
    <row r="14" spans="2:4" s="4" customFormat="1" ht="19.5" customHeight="1">
      <c r="B14" s="368">
        <v>43255</v>
      </c>
      <c r="C14" s="366" t="s">
        <v>635</v>
      </c>
      <c r="D14" s="367">
        <v>211.86</v>
      </c>
    </row>
    <row r="15" spans="2:4" s="4" customFormat="1" ht="25.5" customHeight="1">
      <c r="B15" s="368">
        <v>43258</v>
      </c>
      <c r="C15" s="366" t="s">
        <v>636</v>
      </c>
      <c r="D15" s="367">
        <v>190</v>
      </c>
    </row>
    <row r="16" spans="2:4" s="4" customFormat="1" ht="19.5" customHeight="1">
      <c r="B16" s="368">
        <v>43259</v>
      </c>
      <c r="C16" s="366" t="s">
        <v>637</v>
      </c>
      <c r="D16" s="367">
        <v>250</v>
      </c>
    </row>
    <row r="17" spans="2:4" s="4" customFormat="1" ht="19.5" customHeight="1">
      <c r="B17" s="368">
        <v>43290</v>
      </c>
      <c r="C17" s="366" t="s">
        <v>633</v>
      </c>
      <c r="D17" s="367">
        <v>42.37</v>
      </c>
    </row>
    <row r="18" spans="2:4" s="4" customFormat="1" ht="19.5" customHeight="1">
      <c r="B18" s="368">
        <v>43290</v>
      </c>
      <c r="C18" s="366" t="s">
        <v>638</v>
      </c>
      <c r="D18" s="367">
        <v>42.37</v>
      </c>
    </row>
    <row r="19" spans="2:4" s="4" customFormat="1" ht="27" customHeight="1">
      <c r="B19" s="369">
        <v>43349</v>
      </c>
      <c r="C19" s="366" t="s">
        <v>639</v>
      </c>
      <c r="D19" s="367">
        <v>150</v>
      </c>
    </row>
    <row r="20" spans="2:4" s="4" customFormat="1" ht="29.25" customHeight="1">
      <c r="B20" s="369">
        <v>43351</v>
      </c>
      <c r="C20" s="366" t="s">
        <v>640</v>
      </c>
      <c r="D20" s="367">
        <v>600</v>
      </c>
    </row>
    <row r="21" spans="2:4" s="4" customFormat="1" ht="27.75" customHeight="1">
      <c r="B21" s="369">
        <v>43353</v>
      </c>
      <c r="C21" s="366" t="s">
        <v>641</v>
      </c>
      <c r="D21" s="367">
        <v>70</v>
      </c>
    </row>
    <row r="22" spans="2:4" s="4" customFormat="1" ht="19.5" customHeight="1">
      <c r="B22" s="369">
        <v>43361</v>
      </c>
      <c r="C22" s="366" t="s">
        <v>642</v>
      </c>
      <c r="D22" s="367">
        <v>400</v>
      </c>
    </row>
    <row r="23" spans="2:4" s="4" customFormat="1" ht="19.5" customHeight="1">
      <c r="B23" s="369">
        <v>43362</v>
      </c>
      <c r="C23" s="366" t="s">
        <v>630</v>
      </c>
      <c r="D23" s="367">
        <v>229</v>
      </c>
    </row>
    <row r="24" spans="2:4" s="4" customFormat="1" ht="25.5" customHeight="1">
      <c r="B24" s="369" t="s">
        <v>648</v>
      </c>
      <c r="C24" s="366" t="s">
        <v>640</v>
      </c>
      <c r="D24" s="367">
        <v>600</v>
      </c>
    </row>
    <row r="25" spans="2:4" s="4" customFormat="1" ht="19.5" customHeight="1">
      <c r="B25" s="369" t="s">
        <v>650</v>
      </c>
      <c r="C25" s="366" t="s">
        <v>649</v>
      </c>
      <c r="D25" s="367">
        <v>229</v>
      </c>
    </row>
    <row r="26" spans="2:4" s="4" customFormat="1" ht="19.5" customHeight="1">
      <c r="B26" s="369" t="s">
        <v>652</v>
      </c>
      <c r="C26" s="366" t="s">
        <v>651</v>
      </c>
      <c r="D26" s="367">
        <v>60</v>
      </c>
    </row>
    <row r="27" spans="2:4" s="4" customFormat="1" ht="24.75" customHeight="1">
      <c r="B27" s="369" t="s">
        <v>654</v>
      </c>
      <c r="C27" s="366" t="s">
        <v>653</v>
      </c>
      <c r="D27" s="367">
        <v>150</v>
      </c>
    </row>
    <row r="28" spans="2:4" s="4" customFormat="1" ht="19.5" customHeight="1">
      <c r="B28" s="369" t="s">
        <v>655</v>
      </c>
      <c r="C28" s="366" t="s">
        <v>662</v>
      </c>
      <c r="D28" s="367">
        <v>50</v>
      </c>
    </row>
    <row r="29" spans="2:4" s="4" customFormat="1" ht="19.5" customHeight="1">
      <c r="B29" s="369" t="s">
        <v>656</v>
      </c>
      <c r="C29" s="366" t="s">
        <v>657</v>
      </c>
      <c r="D29" s="367">
        <v>400</v>
      </c>
    </row>
    <row r="30" spans="2:4" s="4" customFormat="1" ht="19.5" customHeight="1">
      <c r="B30" s="369" t="s">
        <v>658</v>
      </c>
      <c r="C30" s="366" t="s">
        <v>657</v>
      </c>
      <c r="D30" s="367">
        <v>100</v>
      </c>
    </row>
    <row r="31" spans="2:4" s="4" customFormat="1" ht="19.5" customHeight="1">
      <c r="B31" s="369" t="s">
        <v>659</v>
      </c>
      <c r="C31" s="366" t="s">
        <v>661</v>
      </c>
      <c r="D31" s="367">
        <v>300</v>
      </c>
    </row>
    <row r="32" spans="2:4" s="4" customFormat="1" ht="27">
      <c r="B32" s="369" t="s">
        <v>659</v>
      </c>
      <c r="C32" s="366" t="s">
        <v>660</v>
      </c>
      <c r="D32" s="367">
        <v>100</v>
      </c>
    </row>
    <row r="33" spans="2:4" s="4" customFormat="1" ht="19.5" customHeight="1">
      <c r="B33" s="3"/>
      <c r="C33" s="370" t="s">
        <v>367</v>
      </c>
      <c r="D33" s="371">
        <f>SUM(D9:D32)</f>
        <v>4877.969999999999</v>
      </c>
    </row>
    <row r="35" ht="15">
      <c r="D35" s="244"/>
    </row>
    <row r="36" spans="2:4" ht="15.75">
      <c r="B36" s="567" t="s">
        <v>228</v>
      </c>
      <c r="C36" s="567"/>
      <c r="D36" s="567"/>
    </row>
    <row r="37" spans="2:4" ht="15.75">
      <c r="B37" s="346"/>
      <c r="C37" s="346"/>
      <c r="D37" s="191"/>
    </row>
    <row r="38" spans="2:4" ht="15">
      <c r="B38" s="613" t="s">
        <v>575</v>
      </c>
      <c r="C38" s="613"/>
      <c r="D38" s="613"/>
    </row>
    <row r="39" spans="2:4" ht="15">
      <c r="B39" s="192"/>
      <c r="C39" s="192"/>
      <c r="D39" s="191"/>
    </row>
    <row r="40" spans="2:4" ht="24">
      <c r="B40" s="91" t="s">
        <v>137</v>
      </c>
      <c r="C40" s="90" t="s">
        <v>109</v>
      </c>
      <c r="D40" s="194" t="s">
        <v>202</v>
      </c>
    </row>
    <row r="41" spans="2:4" ht="25.5">
      <c r="B41" s="372">
        <v>43199</v>
      </c>
      <c r="C41" s="373" t="s">
        <v>643</v>
      </c>
      <c r="D41" s="82">
        <v>210</v>
      </c>
    </row>
    <row r="42" spans="2:4" ht="15">
      <c r="B42" s="372">
        <v>43237</v>
      </c>
      <c r="C42" s="373" t="s">
        <v>644</v>
      </c>
      <c r="D42" s="82">
        <v>400</v>
      </c>
    </row>
    <row r="43" spans="2:4" ht="25.5">
      <c r="B43" s="372">
        <v>43242</v>
      </c>
      <c r="C43" s="373" t="s">
        <v>645</v>
      </c>
      <c r="D43" s="82">
        <v>1050</v>
      </c>
    </row>
    <row r="44" spans="2:4" ht="25.5">
      <c r="B44" s="372">
        <v>43284</v>
      </c>
      <c r="C44" s="373" t="s">
        <v>646</v>
      </c>
      <c r="D44" s="82">
        <v>980</v>
      </c>
    </row>
    <row r="45" spans="2:4" ht="25.5">
      <c r="B45" s="372">
        <v>43361</v>
      </c>
      <c r="C45" s="373" t="s">
        <v>647</v>
      </c>
      <c r="D45" s="82">
        <v>4489</v>
      </c>
    </row>
    <row r="46" spans="2:4" ht="25.5">
      <c r="B46" s="372">
        <v>43405</v>
      </c>
      <c r="C46" s="373" t="s">
        <v>663</v>
      </c>
      <c r="D46" s="82">
        <v>935</v>
      </c>
    </row>
    <row r="47" spans="2:4" ht="25.5">
      <c r="B47" s="372">
        <v>43441</v>
      </c>
      <c r="C47" s="373" t="s">
        <v>664</v>
      </c>
      <c r="D47" s="82">
        <v>1385</v>
      </c>
    </row>
    <row r="48" spans="2:4" ht="25.5">
      <c r="B48" s="372">
        <v>43473</v>
      </c>
      <c r="C48" s="373" t="s">
        <v>668</v>
      </c>
      <c r="D48" s="82">
        <v>4332</v>
      </c>
    </row>
    <row r="49" spans="2:4" ht="25.5">
      <c r="B49" s="372">
        <v>43483</v>
      </c>
      <c r="C49" s="373" t="s">
        <v>665</v>
      </c>
      <c r="D49" s="82">
        <v>580</v>
      </c>
    </row>
    <row r="50" spans="2:4" ht="25.5">
      <c r="B50" s="372">
        <v>43507</v>
      </c>
      <c r="C50" s="373" t="s">
        <v>666</v>
      </c>
      <c r="D50" s="82">
        <v>975</v>
      </c>
    </row>
    <row r="51" spans="2:4" ht="25.5">
      <c r="B51" s="372">
        <v>43553</v>
      </c>
      <c r="C51" s="373" t="s">
        <v>667</v>
      </c>
      <c r="D51" s="82">
        <v>70</v>
      </c>
    </row>
    <row r="52" spans="2:4" ht="15.75">
      <c r="B52" s="58"/>
      <c r="C52" s="102" t="s">
        <v>368</v>
      </c>
      <c r="D52" s="193">
        <f>SUM(D41:D51)</f>
        <v>15406</v>
      </c>
    </row>
    <row r="54" spans="3:4" ht="15.75">
      <c r="C54" s="102" t="s">
        <v>369</v>
      </c>
      <c r="D54" s="193">
        <f>D33+D52</f>
        <v>20283.97</v>
      </c>
    </row>
  </sheetData>
  <sheetProtection/>
  <mergeCells count="5">
    <mergeCell ref="B4:D4"/>
    <mergeCell ref="B6:D6"/>
    <mergeCell ref="B2:D2"/>
    <mergeCell ref="B36:D36"/>
    <mergeCell ref="B38:D3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r:id="rId1"/>
  <rowBreaks count="1" manualBreakCount="1">
    <brk id="39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B4:E13"/>
  <sheetViews>
    <sheetView zoomScalePageLayoutView="0" workbookViewId="0" topLeftCell="A1">
      <selection activeCell="D8" sqref="D8:E8"/>
    </sheetView>
  </sheetViews>
  <sheetFormatPr defaultColWidth="9.140625" defaultRowHeight="12.75"/>
  <cols>
    <col min="1" max="1" width="5.140625" style="1" customWidth="1"/>
    <col min="2" max="2" width="9.00390625" style="1" customWidth="1"/>
    <col min="3" max="3" width="30.28125" style="1" customWidth="1"/>
    <col min="4" max="4" width="19.28125" style="1" customWidth="1"/>
    <col min="5" max="5" width="20.00390625" style="1" customWidth="1"/>
    <col min="6" max="16384" width="9.140625" style="1" customWidth="1"/>
  </cols>
  <sheetData>
    <row r="4" spans="2:5" ht="16.5">
      <c r="B4" s="561" t="s">
        <v>710</v>
      </c>
      <c r="C4" s="561"/>
      <c r="D4" s="561"/>
      <c r="E4" s="561"/>
    </row>
    <row r="5" spans="2:5" ht="16.5">
      <c r="B5" s="53"/>
      <c r="C5" s="53"/>
      <c r="D5" s="53"/>
      <c r="E5" s="53"/>
    </row>
    <row r="6" spans="2:5" ht="16.5">
      <c r="B6" s="560" t="s">
        <v>371</v>
      </c>
      <c r="C6" s="560"/>
      <c r="D6" s="560"/>
      <c r="E6" s="560"/>
    </row>
    <row r="8" spans="2:5" s="24" customFormat="1" ht="38.25">
      <c r="B8" s="18" t="s">
        <v>40</v>
      </c>
      <c r="C8" s="18" t="s">
        <v>41</v>
      </c>
      <c r="D8" s="75" t="s">
        <v>520</v>
      </c>
      <c r="E8" s="18" t="s">
        <v>547</v>
      </c>
    </row>
    <row r="9" spans="2:5" ht="60">
      <c r="B9" s="27">
        <v>1</v>
      </c>
      <c r="C9" s="54" t="s">
        <v>685</v>
      </c>
      <c r="D9" s="360">
        <v>20784</v>
      </c>
      <c r="E9" s="360">
        <v>25000</v>
      </c>
    </row>
    <row r="10" spans="2:5" ht="30">
      <c r="B10" s="27">
        <v>2</v>
      </c>
      <c r="C10" s="54" t="s">
        <v>686</v>
      </c>
      <c r="D10" s="360">
        <v>8715</v>
      </c>
      <c r="E10" s="360">
        <v>15000</v>
      </c>
    </row>
    <row r="11" spans="2:5" ht="15">
      <c r="B11" s="58"/>
      <c r="C11" s="57" t="s">
        <v>26</v>
      </c>
      <c r="D11" s="361">
        <f>SUM(D9:D10)</f>
        <v>29499</v>
      </c>
      <c r="E11" s="361">
        <f>SUM(E9:E10)</f>
        <v>40000</v>
      </c>
    </row>
    <row r="13" spans="2:4" ht="15.75">
      <c r="B13" s="346"/>
      <c r="C13" s="346"/>
      <c r="D13" s="191"/>
    </row>
  </sheetData>
  <sheetProtection/>
  <mergeCells count="2">
    <mergeCell ref="B4:E4"/>
    <mergeCell ref="B6:E6"/>
  </mergeCells>
  <printOptions/>
  <pageMargins left="0.7" right="0.7" top="0.75" bottom="0.75" header="0.3" footer="0.3"/>
  <pageSetup horizontalDpi="600" verticalDpi="600" orientation="portrait" scale="9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D48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7.28125" style="23" customWidth="1"/>
    <col min="2" max="2" width="14.00390625" style="23" customWidth="1"/>
    <col min="3" max="3" width="45.140625" style="23" customWidth="1"/>
    <col min="4" max="4" width="12.57421875" style="23" customWidth="1"/>
    <col min="5" max="16384" width="9.140625" style="23" customWidth="1"/>
  </cols>
  <sheetData>
    <row r="2" spans="2:4" ht="15.75">
      <c r="B2" s="614" t="s">
        <v>370</v>
      </c>
      <c r="C2" s="614"/>
      <c r="D2" s="614"/>
    </row>
    <row r="3" spans="2:4" ht="15.75">
      <c r="B3" s="375"/>
      <c r="C3" s="375"/>
      <c r="D3" s="376"/>
    </row>
    <row r="4" spans="2:4" ht="15.75">
      <c r="B4" s="615" t="s">
        <v>669</v>
      </c>
      <c r="C4" s="615"/>
      <c r="D4" s="615"/>
    </row>
    <row r="5" spans="2:4" ht="15.75">
      <c r="B5" s="375"/>
      <c r="C5" s="375"/>
      <c r="D5" s="376"/>
    </row>
    <row r="6" spans="2:4" ht="15">
      <c r="B6" s="616" t="s">
        <v>575</v>
      </c>
      <c r="C6" s="616"/>
      <c r="D6" s="616"/>
    </row>
    <row r="7" spans="2:4" ht="15">
      <c r="B7" s="377"/>
      <c r="C7" s="377"/>
      <c r="D7" s="376"/>
    </row>
    <row r="8" spans="2:4" s="380" customFormat="1" ht="24.75" customHeight="1">
      <c r="B8" s="378" t="s">
        <v>137</v>
      </c>
      <c r="C8" s="378" t="s">
        <v>109</v>
      </c>
      <c r="D8" s="379" t="s">
        <v>202</v>
      </c>
    </row>
    <row r="9" spans="2:4" s="167" customFormat="1" ht="27.75" customHeight="1">
      <c r="B9" s="381" t="s">
        <v>670</v>
      </c>
      <c r="C9" s="382" t="s">
        <v>671</v>
      </c>
      <c r="D9" s="374">
        <v>2573</v>
      </c>
    </row>
    <row r="10" spans="2:4" s="167" customFormat="1" ht="27" customHeight="1">
      <c r="B10" s="381" t="s">
        <v>672</v>
      </c>
      <c r="C10" s="382" t="s">
        <v>673</v>
      </c>
      <c r="D10" s="374">
        <v>652</v>
      </c>
    </row>
    <row r="11" spans="2:4" s="167" customFormat="1" ht="27" customHeight="1">
      <c r="B11" s="381" t="s">
        <v>692</v>
      </c>
      <c r="C11" s="382" t="s">
        <v>691</v>
      </c>
      <c r="D11" s="374">
        <v>317</v>
      </c>
    </row>
    <row r="12" spans="2:4" s="167" customFormat="1" ht="31.5" customHeight="1">
      <c r="B12" s="381" t="s">
        <v>674</v>
      </c>
      <c r="C12" s="382" t="s">
        <v>675</v>
      </c>
      <c r="D12" s="374">
        <v>1854</v>
      </c>
    </row>
    <row r="13" spans="2:4" s="167" customFormat="1" ht="28.5" customHeight="1">
      <c r="B13" s="381" t="s">
        <v>676</v>
      </c>
      <c r="C13" s="382" t="s">
        <v>677</v>
      </c>
      <c r="D13" s="374">
        <v>1300</v>
      </c>
    </row>
    <row r="14" spans="2:4" s="167" customFormat="1" ht="28.5" customHeight="1">
      <c r="B14" s="383" t="s">
        <v>542</v>
      </c>
      <c r="C14" s="382" t="s">
        <v>677</v>
      </c>
      <c r="D14" s="374">
        <v>1225</v>
      </c>
    </row>
    <row r="15" spans="2:4" s="167" customFormat="1" ht="28.5" customHeight="1">
      <c r="B15" s="383" t="s">
        <v>693</v>
      </c>
      <c r="C15" s="382" t="s">
        <v>694</v>
      </c>
      <c r="D15" s="374">
        <v>555</v>
      </c>
    </row>
    <row r="16" spans="2:4" s="167" customFormat="1" ht="28.5" customHeight="1">
      <c r="B16" s="383" t="s">
        <v>693</v>
      </c>
      <c r="C16" s="382" t="s">
        <v>695</v>
      </c>
      <c r="D16" s="374">
        <v>28</v>
      </c>
    </row>
    <row r="17" spans="2:4" s="167" customFormat="1" ht="28.5" customHeight="1">
      <c r="B17" s="383" t="s">
        <v>697</v>
      </c>
      <c r="C17" s="382" t="s">
        <v>696</v>
      </c>
      <c r="D17" s="374">
        <v>2482</v>
      </c>
    </row>
    <row r="18" spans="2:4" s="167" customFormat="1" ht="28.5" customHeight="1">
      <c r="B18" s="383" t="s">
        <v>699</v>
      </c>
      <c r="C18" s="382" t="s">
        <v>698</v>
      </c>
      <c r="D18" s="374">
        <v>357</v>
      </c>
    </row>
    <row r="19" spans="2:4" s="167" customFormat="1" ht="28.5" customHeight="1">
      <c r="B19" s="383" t="s">
        <v>700</v>
      </c>
      <c r="C19" s="382" t="s">
        <v>696</v>
      </c>
      <c r="D19" s="374">
        <v>775</v>
      </c>
    </row>
    <row r="20" spans="2:4" s="167" customFormat="1" ht="28.5" customHeight="1">
      <c r="B20" s="383" t="s">
        <v>655</v>
      </c>
      <c r="C20" s="382" t="s">
        <v>687</v>
      </c>
      <c r="D20" s="374">
        <v>2240</v>
      </c>
    </row>
    <row r="21" spans="2:4" s="167" customFormat="1" ht="28.5" customHeight="1">
      <c r="B21" s="383" t="s">
        <v>688</v>
      </c>
      <c r="C21" s="382" t="s">
        <v>690</v>
      </c>
      <c r="D21" s="374">
        <v>582</v>
      </c>
    </row>
    <row r="22" spans="2:4" s="167" customFormat="1" ht="28.5" customHeight="1">
      <c r="B22" s="383" t="s">
        <v>701</v>
      </c>
      <c r="C22" s="382" t="s">
        <v>702</v>
      </c>
      <c r="D22" s="374">
        <v>772</v>
      </c>
    </row>
    <row r="23" spans="2:4" s="167" customFormat="1" ht="28.5" customHeight="1">
      <c r="B23" s="383" t="s">
        <v>704</v>
      </c>
      <c r="C23" s="382" t="s">
        <v>703</v>
      </c>
      <c r="D23" s="374">
        <v>569</v>
      </c>
    </row>
    <row r="24" spans="2:4" s="167" customFormat="1" ht="28.5" customHeight="1">
      <c r="B24" s="383" t="s">
        <v>550</v>
      </c>
      <c r="C24" s="382" t="s">
        <v>689</v>
      </c>
      <c r="D24" s="374">
        <v>4144</v>
      </c>
    </row>
    <row r="25" spans="2:4" s="167" customFormat="1" ht="28.5" customHeight="1">
      <c r="B25" s="383" t="s">
        <v>706</v>
      </c>
      <c r="C25" s="382" t="s">
        <v>705</v>
      </c>
      <c r="D25" s="374">
        <v>359</v>
      </c>
    </row>
    <row r="26" spans="2:4" s="167" customFormat="1" ht="19.5" customHeight="1">
      <c r="B26" s="384"/>
      <c r="C26" s="385" t="s">
        <v>367</v>
      </c>
      <c r="D26" s="386">
        <f>SUM(D9:D25)</f>
        <v>20784</v>
      </c>
    </row>
    <row r="28" ht="15">
      <c r="D28" s="387"/>
    </row>
    <row r="29" ht="15">
      <c r="D29" s="387"/>
    </row>
    <row r="30" ht="15">
      <c r="D30" s="387"/>
    </row>
    <row r="31" ht="15">
      <c r="D31" s="387"/>
    </row>
    <row r="32" spans="2:4" ht="15.75">
      <c r="B32" s="615" t="s">
        <v>413</v>
      </c>
      <c r="C32" s="615"/>
      <c r="D32" s="615"/>
    </row>
    <row r="33" spans="2:4" ht="15.75">
      <c r="B33" s="375"/>
      <c r="C33" s="375"/>
      <c r="D33" s="376"/>
    </row>
    <row r="34" spans="2:4" ht="15">
      <c r="B34" s="616" t="s">
        <v>575</v>
      </c>
      <c r="C34" s="616"/>
      <c r="D34" s="616"/>
    </row>
    <row r="35" spans="2:4" ht="15">
      <c r="B35" s="377"/>
      <c r="C35" s="377"/>
      <c r="D35" s="376"/>
    </row>
    <row r="36" spans="2:4" ht="24">
      <c r="B36" s="388" t="s">
        <v>137</v>
      </c>
      <c r="C36" s="389" t="s">
        <v>109</v>
      </c>
      <c r="D36" s="390" t="s">
        <v>202</v>
      </c>
    </row>
    <row r="37" spans="2:4" ht="15">
      <c r="B37" s="391">
        <v>43199</v>
      </c>
      <c r="C37" s="392" t="s">
        <v>678</v>
      </c>
      <c r="D37" s="393">
        <v>985</v>
      </c>
    </row>
    <row r="38" spans="2:4" ht="15">
      <c r="B38" s="391">
        <v>43273</v>
      </c>
      <c r="C38" s="392" t="s">
        <v>679</v>
      </c>
      <c r="D38" s="393">
        <v>1965</v>
      </c>
    </row>
    <row r="39" spans="2:4" ht="25.5">
      <c r="B39" s="391">
        <v>43286</v>
      </c>
      <c r="C39" s="392" t="s">
        <v>680</v>
      </c>
      <c r="D39" s="393">
        <v>330</v>
      </c>
    </row>
    <row r="40" spans="2:4" ht="15">
      <c r="B40" s="391">
        <v>43286</v>
      </c>
      <c r="C40" s="392" t="s">
        <v>681</v>
      </c>
      <c r="D40" s="393">
        <v>500</v>
      </c>
    </row>
    <row r="41" spans="2:4" ht="15">
      <c r="B41" s="391">
        <v>43291</v>
      </c>
      <c r="C41" s="392" t="s">
        <v>682</v>
      </c>
      <c r="D41" s="393">
        <v>200</v>
      </c>
    </row>
    <row r="42" spans="2:4" ht="25.5">
      <c r="B42" s="391">
        <v>43319</v>
      </c>
      <c r="C42" s="392" t="s">
        <v>683</v>
      </c>
      <c r="D42" s="393">
        <v>600</v>
      </c>
    </row>
    <row r="43" spans="2:4" ht="15">
      <c r="B43" s="391">
        <v>43361</v>
      </c>
      <c r="C43" s="392" t="s">
        <v>684</v>
      </c>
      <c r="D43" s="393">
        <v>45</v>
      </c>
    </row>
    <row r="44" spans="2:4" ht="15">
      <c r="B44" s="391" t="s">
        <v>708</v>
      </c>
      <c r="C44" s="392" t="s">
        <v>707</v>
      </c>
      <c r="D44" s="393">
        <v>3920</v>
      </c>
    </row>
    <row r="45" spans="2:4" ht="15">
      <c r="B45" s="391" t="s">
        <v>709</v>
      </c>
      <c r="C45" s="392" t="s">
        <v>682</v>
      </c>
      <c r="D45" s="393">
        <v>170</v>
      </c>
    </row>
    <row r="46" spans="2:4" ht="15.75">
      <c r="B46" s="394"/>
      <c r="C46" s="395" t="s">
        <v>368</v>
      </c>
      <c r="D46" s="396">
        <f>SUM(D37:D45)</f>
        <v>8715</v>
      </c>
    </row>
    <row r="48" spans="3:4" ht="15.75">
      <c r="C48" s="395" t="s">
        <v>369</v>
      </c>
      <c r="D48" s="396">
        <f>D26+D46</f>
        <v>29499</v>
      </c>
    </row>
  </sheetData>
  <sheetProtection/>
  <mergeCells count="5">
    <mergeCell ref="B2:D2"/>
    <mergeCell ref="B4:D4"/>
    <mergeCell ref="B6:D6"/>
    <mergeCell ref="B32:D32"/>
    <mergeCell ref="B34:D34"/>
  </mergeCells>
  <printOptions/>
  <pageMargins left="0.7" right="0.7" top="0.75" bottom="0.75" header="0.3" footer="0.3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5:E11"/>
  <sheetViews>
    <sheetView zoomScalePageLayoutView="0" workbookViewId="0" topLeftCell="A4">
      <selection activeCell="D9" sqref="D9:E9"/>
    </sheetView>
  </sheetViews>
  <sheetFormatPr defaultColWidth="9.140625" defaultRowHeight="12.75"/>
  <cols>
    <col min="1" max="2" width="9.140625" style="1" customWidth="1"/>
    <col min="3" max="4" width="21.140625" style="1" customWidth="1"/>
    <col min="5" max="5" width="21.28125" style="1" customWidth="1"/>
    <col min="6" max="16384" width="9.140625" style="1" customWidth="1"/>
  </cols>
  <sheetData>
    <row r="5" spans="2:5" ht="16.5">
      <c r="B5" s="561" t="s">
        <v>397</v>
      </c>
      <c r="C5" s="561"/>
      <c r="D5" s="561"/>
      <c r="E5" s="561"/>
    </row>
    <row r="6" spans="2:5" ht="16.5">
      <c r="B6" s="53"/>
      <c r="C6" s="53"/>
      <c r="D6" s="53"/>
      <c r="E6" s="53"/>
    </row>
    <row r="7" spans="2:5" ht="16.5">
      <c r="B7" s="560" t="s">
        <v>141</v>
      </c>
      <c r="C7" s="560"/>
      <c r="D7" s="560"/>
      <c r="E7" s="560"/>
    </row>
    <row r="9" spans="2:5" ht="42.75" customHeight="1">
      <c r="B9" s="18" t="s">
        <v>40</v>
      </c>
      <c r="C9" s="18" t="s">
        <v>41</v>
      </c>
      <c r="D9" s="75" t="s">
        <v>520</v>
      </c>
      <c r="E9" s="18" t="s">
        <v>547</v>
      </c>
    </row>
    <row r="10" spans="2:5" ht="26.25" customHeight="1">
      <c r="B10" s="27">
        <v>1</v>
      </c>
      <c r="C10" s="59" t="s">
        <v>141</v>
      </c>
      <c r="D10" s="397">
        <v>2795</v>
      </c>
      <c r="E10" s="398">
        <v>3500</v>
      </c>
    </row>
    <row r="11" spans="2:5" ht="19.5" customHeight="1">
      <c r="B11" s="58"/>
      <c r="C11" s="63" t="s">
        <v>26</v>
      </c>
      <c r="D11" s="85">
        <f>SUM(D10:D10)</f>
        <v>2795</v>
      </c>
      <c r="E11" s="85">
        <f>SUM(E10:E10)</f>
        <v>3500</v>
      </c>
    </row>
  </sheetData>
  <sheetProtection/>
  <mergeCells count="2">
    <mergeCell ref="B5:E5"/>
    <mergeCell ref="B7:E7"/>
  </mergeCells>
  <printOptions/>
  <pageMargins left="0.7" right="0.7" top="0.75" bottom="0.75" header="0.3" footer="0.3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4:E51"/>
  <sheetViews>
    <sheetView zoomScalePageLayoutView="0" workbookViewId="0" topLeftCell="A32">
      <selection activeCell="C52" sqref="C52"/>
    </sheetView>
  </sheetViews>
  <sheetFormatPr defaultColWidth="9.140625" defaultRowHeight="12.75"/>
  <cols>
    <col min="1" max="1" width="5.28125" style="1" customWidth="1"/>
    <col min="2" max="2" width="9.140625" style="1" customWidth="1"/>
    <col min="3" max="3" width="30.140625" style="1" customWidth="1"/>
    <col min="4" max="4" width="22.7109375" style="1" customWidth="1"/>
    <col min="5" max="5" width="22.00390625" style="1" customWidth="1"/>
    <col min="6" max="16384" width="9.140625" style="1" customWidth="1"/>
  </cols>
  <sheetData>
    <row r="4" spans="2:5" ht="16.5">
      <c r="B4" s="561" t="s">
        <v>398</v>
      </c>
      <c r="C4" s="561"/>
      <c r="D4" s="561"/>
      <c r="E4" s="561"/>
    </row>
    <row r="5" spans="2:4" ht="16.5">
      <c r="B5" s="53"/>
      <c r="C5" s="53"/>
      <c r="D5" s="53"/>
    </row>
    <row r="6" spans="2:5" ht="16.5">
      <c r="B6" s="560" t="s">
        <v>373</v>
      </c>
      <c r="C6" s="560"/>
      <c r="D6" s="560"/>
      <c r="E6" s="560"/>
    </row>
    <row r="8" spans="2:5" ht="44.25" customHeight="1">
      <c r="B8" s="18" t="s">
        <v>40</v>
      </c>
      <c r="C8" s="18" t="s">
        <v>41</v>
      </c>
      <c r="D8" s="75" t="s">
        <v>520</v>
      </c>
      <c r="E8" s="18" t="s">
        <v>547</v>
      </c>
    </row>
    <row r="9" spans="2:5" ht="38.25" customHeight="1">
      <c r="B9" s="27">
        <v>1</v>
      </c>
      <c r="C9" s="59" t="s">
        <v>199</v>
      </c>
      <c r="D9" s="246">
        <v>14255</v>
      </c>
      <c r="E9" s="400">
        <v>70000</v>
      </c>
    </row>
    <row r="10" spans="2:5" ht="19.5" customHeight="1">
      <c r="B10" s="27">
        <v>2</v>
      </c>
      <c r="C10" s="59" t="s">
        <v>711</v>
      </c>
      <c r="D10" s="246">
        <v>15734</v>
      </c>
      <c r="E10" s="400">
        <v>20000</v>
      </c>
    </row>
    <row r="11" spans="2:5" ht="19.5" customHeight="1">
      <c r="B11" s="27">
        <v>3</v>
      </c>
      <c r="C11" s="59" t="s">
        <v>256</v>
      </c>
      <c r="D11" s="246">
        <f>1062+2300</f>
        <v>3362</v>
      </c>
      <c r="E11" s="400">
        <v>16000</v>
      </c>
    </row>
    <row r="12" spans="2:5" ht="19.5" customHeight="1">
      <c r="B12" s="27">
        <v>4</v>
      </c>
      <c r="C12" s="59" t="s">
        <v>237</v>
      </c>
      <c r="D12" s="246">
        <v>7260</v>
      </c>
      <c r="E12" s="400">
        <v>6500</v>
      </c>
    </row>
    <row r="13" spans="2:5" ht="19.5" customHeight="1">
      <c r="B13" s="58"/>
      <c r="C13" s="70" t="s">
        <v>26</v>
      </c>
      <c r="D13" s="401">
        <f>SUM(D9:D12)</f>
        <v>40611</v>
      </c>
      <c r="E13" s="401">
        <f>SUM(E9:E12)</f>
        <v>112500</v>
      </c>
    </row>
    <row r="16" spans="2:4" ht="16.5">
      <c r="B16" s="53"/>
      <c r="C16" s="53"/>
      <c r="D16" s="53"/>
    </row>
    <row r="17" spans="2:5" ht="16.5">
      <c r="B17" s="560" t="s">
        <v>374</v>
      </c>
      <c r="C17" s="560"/>
      <c r="D17" s="560"/>
      <c r="E17" s="560"/>
    </row>
    <row r="19" spans="2:5" ht="42" customHeight="1">
      <c r="B19" s="18" t="s">
        <v>40</v>
      </c>
      <c r="C19" s="18" t="s">
        <v>41</v>
      </c>
      <c r="D19" s="75" t="s">
        <v>520</v>
      </c>
      <c r="E19" s="18" t="s">
        <v>547</v>
      </c>
    </row>
    <row r="20" spans="2:5" s="4" customFormat="1" ht="30" customHeight="1">
      <c r="B20" s="27">
        <v>1</v>
      </c>
      <c r="C20" s="59" t="s">
        <v>734</v>
      </c>
      <c r="D20" s="360">
        <v>55000</v>
      </c>
      <c r="E20" s="154" t="s">
        <v>733</v>
      </c>
    </row>
    <row r="21" spans="2:5" s="4" customFormat="1" ht="15">
      <c r="B21" s="3"/>
      <c r="C21" s="41" t="s">
        <v>26</v>
      </c>
      <c r="D21" s="402">
        <f>SUM(D20:D20)</f>
        <v>55000</v>
      </c>
      <c r="E21" s="402">
        <v>100000</v>
      </c>
    </row>
    <row r="26" ht="15">
      <c r="B26" s="49" t="s">
        <v>751</v>
      </c>
    </row>
    <row r="28" spans="2:4" s="24" customFormat="1" ht="12.75">
      <c r="B28" s="70" t="s">
        <v>126</v>
      </c>
      <c r="C28" s="70" t="s">
        <v>138</v>
      </c>
      <c r="D28" s="70" t="s">
        <v>501</v>
      </c>
    </row>
    <row r="29" spans="2:4" ht="15">
      <c r="B29" s="58">
        <v>1</v>
      </c>
      <c r="C29" s="58" t="s">
        <v>752</v>
      </c>
      <c r="D29" s="58">
        <v>5000</v>
      </c>
    </row>
    <row r="30" spans="2:4" ht="15">
      <c r="B30" s="58">
        <v>2</v>
      </c>
      <c r="C30" s="58" t="s">
        <v>753</v>
      </c>
      <c r="D30" s="58">
        <v>2000</v>
      </c>
    </row>
    <row r="31" spans="2:4" ht="15">
      <c r="B31" s="58">
        <v>3</v>
      </c>
      <c r="C31" s="58" t="s">
        <v>754</v>
      </c>
      <c r="D31" s="58">
        <v>16000</v>
      </c>
    </row>
    <row r="32" spans="2:4" ht="15">
      <c r="B32" s="58">
        <v>4</v>
      </c>
      <c r="C32" s="58" t="s">
        <v>755</v>
      </c>
      <c r="D32" s="58">
        <v>2000</v>
      </c>
    </row>
    <row r="33" spans="2:4" ht="15">
      <c r="B33" s="58">
        <v>5</v>
      </c>
      <c r="C33" s="58" t="s">
        <v>756</v>
      </c>
      <c r="D33" s="58">
        <v>7000</v>
      </c>
    </row>
    <row r="34" spans="2:4" ht="15">
      <c r="B34" s="58">
        <v>6</v>
      </c>
      <c r="C34" s="58" t="s">
        <v>757</v>
      </c>
      <c r="D34" s="58">
        <v>3000</v>
      </c>
    </row>
    <row r="35" spans="2:4" ht="15">
      <c r="B35" s="58">
        <v>7</v>
      </c>
      <c r="C35" s="58" t="s">
        <v>758</v>
      </c>
      <c r="D35" s="58">
        <v>3000</v>
      </c>
    </row>
    <row r="36" spans="2:4" ht="15">
      <c r="B36" s="58">
        <v>8</v>
      </c>
      <c r="C36" s="58" t="s">
        <v>759</v>
      </c>
      <c r="D36" s="58">
        <v>2000</v>
      </c>
    </row>
    <row r="37" spans="2:4" ht="15">
      <c r="B37" s="58">
        <v>9</v>
      </c>
      <c r="C37" s="58" t="s">
        <v>760</v>
      </c>
      <c r="D37" s="58">
        <v>8000</v>
      </c>
    </row>
    <row r="38" spans="2:4" ht="15">
      <c r="B38" s="58">
        <v>10</v>
      </c>
      <c r="C38" s="58" t="s">
        <v>761</v>
      </c>
      <c r="D38" s="58">
        <v>8000</v>
      </c>
    </row>
    <row r="39" spans="2:4" ht="15">
      <c r="B39" s="58">
        <v>11</v>
      </c>
      <c r="C39" s="58" t="s">
        <v>762</v>
      </c>
      <c r="D39" s="58">
        <v>5000</v>
      </c>
    </row>
    <row r="40" spans="2:4" ht="15">
      <c r="B40" s="58">
        <v>12</v>
      </c>
      <c r="C40" s="58" t="s">
        <v>763</v>
      </c>
      <c r="D40" s="58">
        <v>2000</v>
      </c>
    </row>
    <row r="41" spans="2:4" ht="15">
      <c r="B41" s="58">
        <v>13</v>
      </c>
      <c r="C41" s="58" t="s">
        <v>764</v>
      </c>
      <c r="D41" s="58">
        <v>2000</v>
      </c>
    </row>
    <row r="42" spans="2:4" ht="15">
      <c r="B42" s="58">
        <v>14</v>
      </c>
      <c r="C42" s="58" t="s">
        <v>765</v>
      </c>
      <c r="D42" s="58">
        <v>5000</v>
      </c>
    </row>
    <row r="43" spans="2:4" s="24" customFormat="1" ht="12.75">
      <c r="B43" s="70"/>
      <c r="C43" s="70" t="s">
        <v>26</v>
      </c>
      <c r="D43" s="70">
        <f>SUM(D29:D42)</f>
        <v>70000</v>
      </c>
    </row>
    <row r="45" ht="15">
      <c r="B45" s="49" t="s">
        <v>766</v>
      </c>
    </row>
    <row r="47" spans="2:4" ht="15">
      <c r="B47" s="70" t="s">
        <v>126</v>
      </c>
      <c r="C47" s="70" t="s">
        <v>138</v>
      </c>
      <c r="D47" s="70" t="s">
        <v>501</v>
      </c>
    </row>
    <row r="48" spans="2:4" ht="15">
      <c r="B48" s="58">
        <v>1</v>
      </c>
      <c r="C48" s="58" t="s">
        <v>767</v>
      </c>
      <c r="D48" s="58">
        <v>2000</v>
      </c>
    </row>
    <row r="49" spans="2:4" ht="15">
      <c r="B49" s="58">
        <v>2</v>
      </c>
      <c r="C49" s="58" t="s">
        <v>768</v>
      </c>
      <c r="D49" s="58">
        <v>2500</v>
      </c>
    </row>
    <row r="50" spans="2:4" ht="15">
      <c r="B50" s="58">
        <v>3</v>
      </c>
      <c r="C50" s="58" t="s">
        <v>769</v>
      </c>
      <c r="D50" s="58">
        <v>2000</v>
      </c>
    </row>
    <row r="51" spans="2:4" ht="15">
      <c r="B51" s="58"/>
      <c r="C51" s="70" t="s">
        <v>26</v>
      </c>
      <c r="D51" s="70">
        <f>SUM(D48:D50)</f>
        <v>6500</v>
      </c>
    </row>
  </sheetData>
  <sheetProtection/>
  <mergeCells count="3">
    <mergeCell ref="B6:E6"/>
    <mergeCell ref="B4:E4"/>
    <mergeCell ref="B17:E17"/>
  </mergeCells>
  <printOptions/>
  <pageMargins left="0.7" right="0.7" top="0.75" bottom="0.75" header="0.3" footer="0.3"/>
  <pageSetup horizontalDpi="600" verticalDpi="600" orientation="portrait" r:id="rId1"/>
  <rowBreaks count="1" manualBreakCount="1">
    <brk id="24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B1:D38"/>
  <sheetViews>
    <sheetView zoomScalePageLayoutView="0" workbookViewId="0" topLeftCell="A19">
      <selection activeCell="C46" sqref="C46"/>
    </sheetView>
  </sheetViews>
  <sheetFormatPr defaultColWidth="9.140625" defaultRowHeight="12.75"/>
  <cols>
    <col min="1" max="1" width="12.8515625" style="1" customWidth="1"/>
    <col min="2" max="2" width="14.00390625" style="1" customWidth="1"/>
    <col min="3" max="3" width="40.7109375" style="1" customWidth="1"/>
    <col min="4" max="4" width="12.57421875" style="1" customWidth="1"/>
    <col min="5" max="16384" width="9.140625" style="1" customWidth="1"/>
  </cols>
  <sheetData>
    <row r="1" spans="2:4" ht="15.75">
      <c r="B1" s="568" t="s">
        <v>370</v>
      </c>
      <c r="C1" s="568"/>
      <c r="D1" s="568"/>
    </row>
    <row r="2" spans="2:4" ht="15.75">
      <c r="B2" s="346"/>
      <c r="C2" s="346"/>
      <c r="D2" s="191"/>
    </row>
    <row r="3" spans="2:4" ht="15.75">
      <c r="B3" s="567" t="s">
        <v>238</v>
      </c>
      <c r="C3" s="567"/>
      <c r="D3" s="567"/>
    </row>
    <row r="4" spans="2:4" ht="15.75">
      <c r="B4" s="346"/>
      <c r="C4" s="346"/>
      <c r="D4" s="191"/>
    </row>
    <row r="5" spans="2:4" ht="15">
      <c r="B5" s="613" t="s">
        <v>575</v>
      </c>
      <c r="C5" s="613"/>
      <c r="D5" s="613"/>
    </row>
    <row r="6" spans="2:4" ht="15">
      <c r="B6" s="192"/>
      <c r="C6" s="192"/>
      <c r="D6" s="191"/>
    </row>
    <row r="7" spans="2:4" s="50" customFormat="1" ht="24.75" customHeight="1">
      <c r="B7" s="74" t="s">
        <v>137</v>
      </c>
      <c r="C7" s="74" t="s">
        <v>109</v>
      </c>
      <c r="D7" s="194" t="s">
        <v>202</v>
      </c>
    </row>
    <row r="8" spans="2:4" ht="27">
      <c r="B8" s="195">
        <v>43215</v>
      </c>
      <c r="C8" s="196" t="s">
        <v>712</v>
      </c>
      <c r="D8" s="82">
        <v>620</v>
      </c>
    </row>
    <row r="9" spans="2:4" ht="27">
      <c r="B9" s="195">
        <v>43277</v>
      </c>
      <c r="C9" s="196" t="s">
        <v>713</v>
      </c>
      <c r="D9" s="82">
        <v>500</v>
      </c>
    </row>
    <row r="10" spans="2:4" ht="15">
      <c r="B10" s="195">
        <v>43349</v>
      </c>
      <c r="C10" s="196" t="s">
        <v>714</v>
      </c>
      <c r="D10" s="82">
        <v>240</v>
      </c>
    </row>
    <row r="11" spans="2:4" ht="15">
      <c r="B11" s="195">
        <v>43349</v>
      </c>
      <c r="C11" s="196" t="s">
        <v>715</v>
      </c>
      <c r="D11" s="82">
        <v>15734</v>
      </c>
    </row>
    <row r="12" spans="2:4" ht="27">
      <c r="B12" s="195">
        <v>43354</v>
      </c>
      <c r="C12" s="196" t="s">
        <v>716</v>
      </c>
      <c r="D12" s="82">
        <v>1500</v>
      </c>
    </row>
    <row r="13" spans="2:4" ht="27">
      <c r="B13" s="195" t="s">
        <v>718</v>
      </c>
      <c r="C13" s="196" t="s">
        <v>717</v>
      </c>
      <c r="D13" s="82">
        <v>3550</v>
      </c>
    </row>
    <row r="14" spans="2:4" ht="40.5">
      <c r="B14" s="195" t="s">
        <v>720</v>
      </c>
      <c r="C14" s="196" t="s">
        <v>719</v>
      </c>
      <c r="D14" s="82">
        <v>1248</v>
      </c>
    </row>
    <row r="15" spans="2:4" ht="27">
      <c r="B15" s="195" t="s">
        <v>629</v>
      </c>
      <c r="C15" s="196" t="s">
        <v>721</v>
      </c>
      <c r="D15" s="82">
        <v>800</v>
      </c>
    </row>
    <row r="16" spans="2:4" ht="27">
      <c r="B16" s="195" t="s">
        <v>618</v>
      </c>
      <c r="C16" s="196" t="s">
        <v>722</v>
      </c>
      <c r="D16" s="82">
        <v>1240</v>
      </c>
    </row>
    <row r="17" spans="2:4" ht="27">
      <c r="B17" s="195" t="s">
        <v>618</v>
      </c>
      <c r="C17" s="196" t="s">
        <v>723</v>
      </c>
      <c r="D17" s="82">
        <v>720</v>
      </c>
    </row>
    <row r="18" spans="2:4" ht="27">
      <c r="B18" s="195" t="s">
        <v>550</v>
      </c>
      <c r="C18" s="196" t="s">
        <v>724</v>
      </c>
      <c r="D18" s="82">
        <f>4000-163</f>
        <v>3837</v>
      </c>
    </row>
    <row r="19" spans="2:4" ht="15.75">
      <c r="B19" s="58"/>
      <c r="C19" s="102" t="s">
        <v>727</v>
      </c>
      <c r="D19" s="193">
        <f>SUM(D8:D18)</f>
        <v>29989</v>
      </c>
    </row>
    <row r="21" spans="2:4" ht="15.75">
      <c r="B21" s="567" t="s">
        <v>256</v>
      </c>
      <c r="C21" s="567"/>
      <c r="D21" s="567"/>
    </row>
    <row r="22" spans="2:4" ht="15.75">
      <c r="B22" s="362"/>
      <c r="C22" s="362"/>
      <c r="D22" s="191"/>
    </row>
    <row r="23" spans="2:4" ht="15">
      <c r="B23" s="613" t="s">
        <v>575</v>
      </c>
      <c r="C23" s="613"/>
      <c r="D23" s="613"/>
    </row>
    <row r="24" spans="2:4" ht="15">
      <c r="B24" s="192"/>
      <c r="C24" s="192"/>
      <c r="D24" s="191"/>
    </row>
    <row r="25" spans="2:4" ht="24">
      <c r="B25" s="74" t="s">
        <v>137</v>
      </c>
      <c r="C25" s="74" t="s">
        <v>109</v>
      </c>
      <c r="D25" s="194" t="s">
        <v>202</v>
      </c>
    </row>
    <row r="26" spans="2:4" ht="15">
      <c r="B26" s="195" t="s">
        <v>726</v>
      </c>
      <c r="C26" s="196" t="s">
        <v>725</v>
      </c>
      <c r="D26" s="82">
        <v>1062</v>
      </c>
    </row>
    <row r="27" spans="2:4" ht="15">
      <c r="B27" s="195" t="s">
        <v>706</v>
      </c>
      <c r="C27" s="196" t="s">
        <v>725</v>
      </c>
      <c r="D27" s="82">
        <v>2500</v>
      </c>
    </row>
    <row r="28" spans="2:4" ht="15.75">
      <c r="B28" s="58"/>
      <c r="C28" s="102" t="s">
        <v>730</v>
      </c>
      <c r="D28" s="193">
        <f>SUM(D26:D27)</f>
        <v>3562</v>
      </c>
    </row>
    <row r="30" spans="2:4" ht="15.75">
      <c r="B30" s="567" t="s">
        <v>237</v>
      </c>
      <c r="C30" s="567"/>
      <c r="D30" s="567"/>
    </row>
    <row r="31" spans="2:4" ht="15.75">
      <c r="B31" s="362"/>
      <c r="C31" s="362"/>
      <c r="D31" s="191"/>
    </row>
    <row r="32" spans="2:4" ht="15">
      <c r="B32" s="613" t="s">
        <v>575</v>
      </c>
      <c r="C32" s="613"/>
      <c r="D32" s="613"/>
    </row>
    <row r="33" spans="2:4" ht="15">
      <c r="B33" s="192"/>
      <c r="C33" s="192"/>
      <c r="D33" s="191"/>
    </row>
    <row r="34" spans="2:4" ht="24">
      <c r="B34" s="74" t="s">
        <v>137</v>
      </c>
      <c r="C34" s="74" t="s">
        <v>109</v>
      </c>
      <c r="D34" s="194" t="s">
        <v>202</v>
      </c>
    </row>
    <row r="35" spans="2:4" ht="15">
      <c r="B35" s="195" t="s">
        <v>728</v>
      </c>
      <c r="C35" s="196" t="s">
        <v>729</v>
      </c>
      <c r="D35" s="82">
        <v>7260</v>
      </c>
    </row>
    <row r="36" spans="2:4" ht="15.75">
      <c r="B36" s="58"/>
      <c r="C36" s="102" t="s">
        <v>731</v>
      </c>
      <c r="D36" s="193">
        <f>SUM(D35:D35)</f>
        <v>7260</v>
      </c>
    </row>
    <row r="38" spans="3:4" ht="15.75">
      <c r="C38" s="63" t="s">
        <v>732</v>
      </c>
      <c r="D38" s="399">
        <f>D19+D28+D36</f>
        <v>40811</v>
      </c>
    </row>
  </sheetData>
  <sheetProtection/>
  <mergeCells count="7">
    <mergeCell ref="B32:D32"/>
    <mergeCell ref="B3:D3"/>
    <mergeCell ref="B5:D5"/>
    <mergeCell ref="B1:D1"/>
    <mergeCell ref="B21:D21"/>
    <mergeCell ref="B23:D23"/>
    <mergeCell ref="B30:D30"/>
  </mergeCells>
  <printOptions/>
  <pageMargins left="0.7" right="0.7" top="0.28" bottom="0.75" header="0.16" footer="0.3"/>
  <pageSetup horizontalDpi="600" verticalDpi="600" orientation="portrait" r:id="rId1"/>
  <rowBreaks count="1" manualBreakCount="1">
    <brk id="52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B5:E13"/>
  <sheetViews>
    <sheetView zoomScalePageLayoutView="0" workbookViewId="0" topLeftCell="A4">
      <selection activeCell="D9" sqref="D9:E9"/>
    </sheetView>
  </sheetViews>
  <sheetFormatPr defaultColWidth="9.140625" defaultRowHeight="12.75"/>
  <cols>
    <col min="1" max="2" width="9.140625" style="1" customWidth="1"/>
    <col min="3" max="3" width="30.140625" style="1" customWidth="1"/>
    <col min="4" max="4" width="19.421875" style="1" customWidth="1"/>
    <col min="5" max="5" width="19.57421875" style="1" customWidth="1"/>
    <col min="6" max="16384" width="9.140625" style="1" customWidth="1"/>
  </cols>
  <sheetData>
    <row r="5" spans="2:5" ht="16.5">
      <c r="B5" s="561" t="s">
        <v>399</v>
      </c>
      <c r="C5" s="561"/>
      <c r="D5" s="561"/>
      <c r="E5" s="561"/>
    </row>
    <row r="6" spans="2:4" ht="16.5">
      <c r="B6" s="53"/>
      <c r="C6" s="53"/>
      <c r="D6" s="53"/>
    </row>
    <row r="7" spans="2:5" ht="16.5">
      <c r="B7" s="560" t="s">
        <v>300</v>
      </c>
      <c r="C7" s="560"/>
      <c r="D7" s="560"/>
      <c r="E7" s="560"/>
    </row>
    <row r="9" spans="2:5" ht="43.5" customHeight="1">
      <c r="B9" s="18" t="s">
        <v>40</v>
      </c>
      <c r="C9" s="18" t="s">
        <v>41</v>
      </c>
      <c r="D9" s="75" t="s">
        <v>520</v>
      </c>
      <c r="E9" s="18" t="s">
        <v>547</v>
      </c>
    </row>
    <row r="10" spans="2:5" ht="45.75" customHeight="1">
      <c r="B10" s="27">
        <v>1</v>
      </c>
      <c r="C10" s="198" t="s">
        <v>735</v>
      </c>
      <c r="D10" s="416">
        <v>5000</v>
      </c>
      <c r="E10" s="416">
        <v>10000</v>
      </c>
    </row>
    <row r="11" spans="2:5" ht="30.75">
      <c r="B11" s="27">
        <v>2</v>
      </c>
      <c r="C11" s="198" t="s">
        <v>425</v>
      </c>
      <c r="D11" s="416">
        <v>7000</v>
      </c>
      <c r="E11" s="416">
        <v>10000</v>
      </c>
    </row>
    <row r="12" spans="2:5" s="4" customFormat="1" ht="30">
      <c r="B12" s="27">
        <v>3</v>
      </c>
      <c r="C12" s="59" t="s">
        <v>775</v>
      </c>
      <c r="D12" s="416">
        <v>0</v>
      </c>
      <c r="E12" s="416">
        <v>28000</v>
      </c>
    </row>
    <row r="13" spans="2:5" ht="15.75">
      <c r="B13" s="33"/>
      <c r="C13" s="33" t="s">
        <v>26</v>
      </c>
      <c r="D13" s="187">
        <f>SUM(D10:D12)</f>
        <v>12000</v>
      </c>
      <c r="E13" s="187">
        <f>SUM(E10:E12)</f>
        <v>48000</v>
      </c>
    </row>
  </sheetData>
  <sheetProtection/>
  <mergeCells count="2">
    <mergeCell ref="B7:E7"/>
    <mergeCell ref="B5:E5"/>
  </mergeCells>
  <printOptions/>
  <pageMargins left="0.7" right="0.7" top="0.75" bottom="0.75" header="0.3" footer="0.3"/>
  <pageSetup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D30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12.8515625" style="1" customWidth="1"/>
    <col min="2" max="2" width="14.00390625" style="1" customWidth="1"/>
    <col min="3" max="3" width="40.7109375" style="1" customWidth="1"/>
    <col min="4" max="4" width="12.57421875" style="1" customWidth="1"/>
    <col min="5" max="16384" width="9.140625" style="1" customWidth="1"/>
  </cols>
  <sheetData>
    <row r="2" spans="2:4" ht="15.75">
      <c r="B2" s="568" t="s">
        <v>370</v>
      </c>
      <c r="C2" s="568"/>
      <c r="D2" s="568"/>
    </row>
    <row r="3" spans="2:4" ht="15.75">
      <c r="B3" s="261"/>
      <c r="C3" s="261"/>
      <c r="D3" s="191"/>
    </row>
    <row r="4" spans="2:4" ht="15.75">
      <c r="B4" s="567" t="s">
        <v>424</v>
      </c>
      <c r="C4" s="567"/>
      <c r="D4" s="567"/>
    </row>
    <row r="5" spans="2:4" ht="15.75">
      <c r="B5" s="261"/>
      <c r="C5" s="261"/>
      <c r="D5" s="191"/>
    </row>
    <row r="6" spans="2:4" ht="15">
      <c r="B6" s="613" t="s">
        <v>575</v>
      </c>
      <c r="C6" s="613"/>
      <c r="D6" s="613"/>
    </row>
    <row r="7" spans="2:4" ht="15">
      <c r="B7" s="192"/>
      <c r="C7" s="192"/>
      <c r="D7" s="191"/>
    </row>
    <row r="8" spans="2:4" s="50" customFormat="1" ht="24.75" customHeight="1">
      <c r="B8" s="74" t="s">
        <v>137</v>
      </c>
      <c r="C8" s="74" t="s">
        <v>109</v>
      </c>
      <c r="D8" s="194" t="s">
        <v>202</v>
      </c>
    </row>
    <row r="9" spans="2:4" ht="54.75" customHeight="1">
      <c r="B9" s="264" t="s">
        <v>726</v>
      </c>
      <c r="C9" s="403" t="s">
        <v>736</v>
      </c>
      <c r="D9" s="412">
        <v>1000</v>
      </c>
    </row>
    <row r="10" spans="2:4" ht="51">
      <c r="B10" s="264" t="s">
        <v>652</v>
      </c>
      <c r="C10" s="404" t="s">
        <v>747</v>
      </c>
      <c r="D10" s="412">
        <v>400</v>
      </c>
    </row>
    <row r="11" spans="2:4" ht="38.25">
      <c r="B11" s="264" t="s">
        <v>740</v>
      </c>
      <c r="C11" s="405" t="s">
        <v>748</v>
      </c>
      <c r="D11" s="412">
        <v>450</v>
      </c>
    </row>
    <row r="12" spans="2:4" ht="51">
      <c r="B12" s="264" t="s">
        <v>741</v>
      </c>
      <c r="C12" s="406" t="s">
        <v>742</v>
      </c>
      <c r="D12" s="412">
        <v>500</v>
      </c>
    </row>
    <row r="13" spans="2:4" ht="38.25">
      <c r="B13" s="264" t="s">
        <v>743</v>
      </c>
      <c r="C13" s="407" t="s">
        <v>737</v>
      </c>
      <c r="D13" s="412">
        <v>850</v>
      </c>
    </row>
    <row r="14" spans="2:4" ht="51">
      <c r="B14" s="264" t="s">
        <v>629</v>
      </c>
      <c r="C14" s="408" t="s">
        <v>749</v>
      </c>
      <c r="D14" s="412">
        <v>1000</v>
      </c>
    </row>
    <row r="15" spans="2:4" ht="38.25">
      <c r="B15" s="264" t="s">
        <v>629</v>
      </c>
      <c r="C15" s="409" t="s">
        <v>738</v>
      </c>
      <c r="D15" s="412">
        <v>100</v>
      </c>
    </row>
    <row r="16" spans="2:4" ht="25.5">
      <c r="B16" s="264" t="s">
        <v>744</v>
      </c>
      <c r="C16" s="410" t="s">
        <v>739</v>
      </c>
      <c r="D16" s="412">
        <v>100</v>
      </c>
    </row>
    <row r="17" spans="2:4" ht="51">
      <c r="B17" s="264" t="s">
        <v>550</v>
      </c>
      <c r="C17" s="411" t="s">
        <v>750</v>
      </c>
      <c r="D17" s="412">
        <v>600</v>
      </c>
    </row>
    <row r="18" spans="2:4" ht="15.75">
      <c r="B18" s="58"/>
      <c r="C18" s="102" t="s">
        <v>426</v>
      </c>
      <c r="D18" s="193">
        <f>SUM(D9:D17)</f>
        <v>5000</v>
      </c>
    </row>
    <row r="20" spans="2:4" ht="15.75">
      <c r="B20" s="567" t="s">
        <v>425</v>
      </c>
      <c r="C20" s="567"/>
      <c r="D20" s="567"/>
    </row>
    <row r="21" spans="2:4" ht="15.75">
      <c r="B21" s="261"/>
      <c r="C21" s="261"/>
      <c r="D21" s="191"/>
    </row>
    <row r="22" spans="2:4" ht="15">
      <c r="B22" s="613" t="s">
        <v>575</v>
      </c>
      <c r="C22" s="613"/>
      <c r="D22" s="613"/>
    </row>
    <row r="23" spans="2:4" ht="15">
      <c r="B23" s="192"/>
      <c r="C23" s="192"/>
      <c r="D23" s="191"/>
    </row>
    <row r="24" spans="2:4" ht="24">
      <c r="B24" s="74" t="s">
        <v>137</v>
      </c>
      <c r="C24" s="74" t="s">
        <v>109</v>
      </c>
      <c r="D24" s="194" t="s">
        <v>202</v>
      </c>
    </row>
    <row r="25" spans="2:4" ht="15">
      <c r="B25" s="264" t="s">
        <v>618</v>
      </c>
      <c r="C25" s="265" t="s">
        <v>746</v>
      </c>
      <c r="D25" s="412">
        <v>500</v>
      </c>
    </row>
    <row r="26" spans="2:4" ht="27">
      <c r="B26" s="264" t="s">
        <v>706</v>
      </c>
      <c r="C26" s="265" t="s">
        <v>745</v>
      </c>
      <c r="D26" s="412">
        <v>6500</v>
      </c>
    </row>
    <row r="27" spans="2:4" ht="15.75">
      <c r="B27" s="58"/>
      <c r="C27" s="102" t="s">
        <v>368</v>
      </c>
      <c r="D27" s="193">
        <f>SUM(D25:D26)</f>
        <v>7000</v>
      </c>
    </row>
    <row r="30" spans="3:4" s="4" customFormat="1" ht="19.5" customHeight="1">
      <c r="C30" s="266" t="s">
        <v>408</v>
      </c>
      <c r="D30" s="267">
        <f>D27+D18</f>
        <v>12000</v>
      </c>
    </row>
  </sheetData>
  <sheetProtection/>
  <mergeCells count="5">
    <mergeCell ref="B2:D2"/>
    <mergeCell ref="B4:D4"/>
    <mergeCell ref="B6:D6"/>
    <mergeCell ref="B20:D20"/>
    <mergeCell ref="B22:D22"/>
  </mergeCells>
  <printOptions/>
  <pageMargins left="0.7" right="0.7" top="0.75" bottom="0.75" header="0.3" footer="0.3"/>
  <pageSetup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J73"/>
  <sheetViews>
    <sheetView zoomScalePageLayoutView="0" workbookViewId="0" topLeftCell="A16">
      <selection activeCell="I23" sqref="I23"/>
    </sheetView>
  </sheetViews>
  <sheetFormatPr defaultColWidth="9.140625" defaultRowHeight="12.75"/>
  <cols>
    <col min="1" max="1" width="8.28125" style="21" customWidth="1"/>
    <col min="2" max="2" width="12.421875" style="21" customWidth="1"/>
    <col min="3" max="3" width="11.00390625" style="21" customWidth="1"/>
    <col min="4" max="4" width="9.140625" style="21" customWidth="1"/>
    <col min="5" max="5" width="10.28125" style="21" customWidth="1"/>
    <col min="6" max="6" width="10.8515625" style="21" customWidth="1"/>
    <col min="7" max="7" width="11.28125" style="21" customWidth="1"/>
    <col min="8" max="8" width="11.00390625" style="21" customWidth="1"/>
    <col min="9" max="9" width="12.421875" style="21" customWidth="1"/>
    <col min="10" max="10" width="10.57421875" style="21" customWidth="1"/>
    <col min="11" max="16384" width="9.140625" style="21" customWidth="1"/>
  </cols>
  <sheetData>
    <row r="3" spans="2:9" s="26" customFormat="1" ht="15">
      <c r="B3" s="547" t="s">
        <v>352</v>
      </c>
      <c r="C3" s="547"/>
      <c r="D3" s="547"/>
      <c r="E3" s="547"/>
      <c r="F3" s="547"/>
      <c r="G3" s="547"/>
      <c r="H3" s="547"/>
      <c r="I3" s="547"/>
    </row>
    <row r="4" spans="2:9" s="26" customFormat="1" ht="15">
      <c r="B4" s="147"/>
      <c r="C4" s="147"/>
      <c r="D4" s="148"/>
      <c r="E4" s="39"/>
      <c r="F4" s="39"/>
      <c r="G4" s="39"/>
      <c r="H4" s="62"/>
      <c r="I4" s="62"/>
    </row>
    <row r="5" spans="2:9" s="26" customFormat="1" ht="15">
      <c r="B5" s="548" t="s">
        <v>402</v>
      </c>
      <c r="C5" s="548"/>
      <c r="D5" s="548"/>
      <c r="E5" s="548"/>
      <c r="F5" s="548"/>
      <c r="G5" s="548"/>
      <c r="H5" s="548"/>
      <c r="I5" s="548"/>
    </row>
    <row r="6" spans="2:9" ht="15">
      <c r="B6" s="35"/>
      <c r="C6" s="35"/>
      <c r="D6" s="35"/>
      <c r="E6" s="35"/>
      <c r="F6" s="35"/>
      <c r="G6" s="35"/>
      <c r="H6" s="35"/>
      <c r="I6" s="1"/>
    </row>
    <row r="7" spans="2:10" ht="15" customHeight="1">
      <c r="B7" s="550" t="s">
        <v>109</v>
      </c>
      <c r="C7" s="549" t="s">
        <v>438</v>
      </c>
      <c r="D7" s="549"/>
      <c r="E7" s="549"/>
      <c r="F7" s="549"/>
      <c r="G7" s="549" t="s">
        <v>439</v>
      </c>
      <c r="H7" s="549"/>
      <c r="I7" s="549"/>
      <c r="J7" s="226"/>
    </row>
    <row r="8" spans="2:10" ht="25.5">
      <c r="B8" s="550"/>
      <c r="C8" s="17" t="s">
        <v>110</v>
      </c>
      <c r="D8" s="18" t="s">
        <v>111</v>
      </c>
      <c r="E8" s="18" t="s">
        <v>120</v>
      </c>
      <c r="F8" s="18" t="s">
        <v>325</v>
      </c>
      <c r="G8" s="17" t="s">
        <v>110</v>
      </c>
      <c r="H8" s="18" t="s">
        <v>111</v>
      </c>
      <c r="I8" s="18" t="s">
        <v>120</v>
      </c>
      <c r="J8" s="227"/>
    </row>
    <row r="9" spans="2:9" s="22" customFormat="1" ht="19.5" customHeight="1">
      <c r="B9" s="3" t="s">
        <v>105</v>
      </c>
      <c r="C9" s="2">
        <v>43</v>
      </c>
      <c r="D9" s="143">
        <v>60</v>
      </c>
      <c r="E9" s="144">
        <f>C9*D9</f>
        <v>2580</v>
      </c>
      <c r="F9" s="144">
        <f>E9</f>
        <v>2580</v>
      </c>
      <c r="G9" s="144">
        <v>60</v>
      </c>
      <c r="H9" s="150">
        <v>60</v>
      </c>
      <c r="I9" s="149">
        <f>H9*G9</f>
        <v>3600</v>
      </c>
    </row>
    <row r="10" spans="2:9" s="22" customFormat="1" ht="19.5" customHeight="1">
      <c r="B10" s="16" t="s">
        <v>26</v>
      </c>
      <c r="C10" s="16">
        <f>SUM(C9:C9)</f>
        <v>43</v>
      </c>
      <c r="D10" s="16"/>
      <c r="E10" s="145">
        <f>SUM(E9:E9)</f>
        <v>2580</v>
      </c>
      <c r="F10" s="145">
        <f>SUM(F9:F9)</f>
        <v>2580</v>
      </c>
      <c r="G10" s="145"/>
      <c r="H10" s="5"/>
      <c r="I10" s="151">
        <f>SUM(I9:I9)</f>
        <v>3600</v>
      </c>
    </row>
    <row r="11" spans="2:9" ht="19.5" customHeight="1">
      <c r="B11" s="35"/>
      <c r="C11" s="35"/>
      <c r="D11" s="35"/>
      <c r="E11" s="146"/>
      <c r="F11" s="146"/>
      <c r="G11" s="146"/>
      <c r="H11" s="146"/>
      <c r="I11" s="146"/>
    </row>
    <row r="12" spans="2:9" s="26" customFormat="1" ht="15">
      <c r="B12" s="548" t="s">
        <v>423</v>
      </c>
      <c r="C12" s="548"/>
      <c r="D12" s="548"/>
      <c r="E12" s="548"/>
      <c r="F12" s="548"/>
      <c r="G12" s="548"/>
      <c r="H12" s="548"/>
      <c r="I12" s="548"/>
    </row>
    <row r="13" spans="2:9" ht="15">
      <c r="B13" s="35"/>
      <c r="C13" s="35"/>
      <c r="D13" s="35"/>
      <c r="E13" s="35"/>
      <c r="F13" s="35"/>
      <c r="G13" s="35"/>
      <c r="H13" s="35"/>
      <c r="I13" s="1"/>
    </row>
    <row r="14" spans="2:9" ht="15" customHeight="1">
      <c r="B14" s="550" t="s">
        <v>109</v>
      </c>
      <c r="C14" s="549" t="s">
        <v>438</v>
      </c>
      <c r="D14" s="549"/>
      <c r="E14" s="549"/>
      <c r="F14" s="549"/>
      <c r="G14" s="549" t="s">
        <v>439</v>
      </c>
      <c r="H14" s="549"/>
      <c r="I14" s="549"/>
    </row>
    <row r="15" spans="2:9" ht="39.75" customHeight="1">
      <c r="B15" s="550"/>
      <c r="C15" s="225" t="s">
        <v>110</v>
      </c>
      <c r="D15" s="18" t="s">
        <v>111</v>
      </c>
      <c r="E15" s="18" t="s">
        <v>120</v>
      </c>
      <c r="F15" s="18" t="s">
        <v>325</v>
      </c>
      <c r="G15" s="17" t="s">
        <v>110</v>
      </c>
      <c r="H15" s="18" t="s">
        <v>111</v>
      </c>
      <c r="I15" s="18" t="s">
        <v>120</v>
      </c>
    </row>
    <row r="16" spans="2:9" s="22" customFormat="1" ht="19.5" customHeight="1">
      <c r="B16" s="3" t="s">
        <v>105</v>
      </c>
      <c r="C16" s="2">
        <v>43</v>
      </c>
      <c r="D16" s="143">
        <v>592</v>
      </c>
      <c r="E16" s="144">
        <f>C16*D16</f>
        <v>25456</v>
      </c>
      <c r="F16" s="144">
        <f>E16</f>
        <v>25456</v>
      </c>
      <c r="G16" s="144">
        <v>60</v>
      </c>
      <c r="H16" s="143">
        <v>592</v>
      </c>
      <c r="I16" s="149">
        <f>H16*G16</f>
        <v>35520</v>
      </c>
    </row>
    <row r="17" spans="2:9" s="22" customFormat="1" ht="19.5" customHeight="1">
      <c r="B17" s="3" t="s">
        <v>106</v>
      </c>
      <c r="C17" s="2">
        <v>111</v>
      </c>
      <c r="D17" s="143">
        <v>592</v>
      </c>
      <c r="E17" s="144">
        <f>C17*D17</f>
        <v>65712</v>
      </c>
      <c r="F17" s="144">
        <f>E17</f>
        <v>65712</v>
      </c>
      <c r="G17" s="144">
        <v>43</v>
      </c>
      <c r="H17" s="143">
        <v>592</v>
      </c>
      <c r="I17" s="149">
        <f>H17*G17</f>
        <v>25456</v>
      </c>
    </row>
    <row r="18" spans="2:9" s="22" customFormat="1" ht="19.5" customHeight="1">
      <c r="B18" s="3" t="s">
        <v>107</v>
      </c>
      <c r="C18" s="2">
        <v>9</v>
      </c>
      <c r="D18" s="143">
        <v>592</v>
      </c>
      <c r="E18" s="144">
        <f>C18*D18</f>
        <v>5328</v>
      </c>
      <c r="F18" s="144">
        <f>E18</f>
        <v>5328</v>
      </c>
      <c r="G18" s="144">
        <v>0</v>
      </c>
      <c r="H18" s="143">
        <v>592</v>
      </c>
      <c r="I18" s="149">
        <f>H18*G18</f>
        <v>0</v>
      </c>
    </row>
    <row r="19" spans="2:9" s="22" customFormat="1" ht="19.5" customHeight="1">
      <c r="B19" s="16" t="s">
        <v>26</v>
      </c>
      <c r="C19" s="16">
        <f>SUM(C16:C18)</f>
        <v>163</v>
      </c>
      <c r="D19" s="16"/>
      <c r="E19" s="145">
        <f>SUM(E16:E18)</f>
        <v>96496</v>
      </c>
      <c r="F19" s="145">
        <f>SUM(F16:F18)</f>
        <v>96496</v>
      </c>
      <c r="G19" s="145">
        <f>SUM(G16:G18)</f>
        <v>103</v>
      </c>
      <c r="H19" s="5"/>
      <c r="I19" s="151">
        <f>SUM(I16:I18)</f>
        <v>60976</v>
      </c>
    </row>
    <row r="21" spans="2:9" ht="15" customHeight="1">
      <c r="B21" s="550" t="s">
        <v>109</v>
      </c>
      <c r="C21" s="551" t="s">
        <v>440</v>
      </c>
      <c r="D21" s="552"/>
      <c r="E21" s="552"/>
      <c r="F21" s="553"/>
      <c r="G21" s="549" t="s">
        <v>441</v>
      </c>
      <c r="H21" s="549"/>
      <c r="I21" s="549"/>
    </row>
    <row r="22" spans="2:9" ht="39.75" customHeight="1">
      <c r="B22" s="550"/>
      <c r="C22" s="225" t="s">
        <v>110</v>
      </c>
      <c r="D22" s="18" t="s">
        <v>111</v>
      </c>
      <c r="E22" s="18" t="s">
        <v>120</v>
      </c>
      <c r="F22" s="18" t="s">
        <v>325</v>
      </c>
      <c r="G22" s="17" t="s">
        <v>110</v>
      </c>
      <c r="H22" s="18" t="s">
        <v>111</v>
      </c>
      <c r="I22" s="18" t="s">
        <v>120</v>
      </c>
    </row>
    <row r="23" spans="2:9" s="22" customFormat="1" ht="19.5" customHeight="1">
      <c r="B23" s="3" t="s">
        <v>105</v>
      </c>
      <c r="C23" s="2">
        <v>43</v>
      </c>
      <c r="D23" s="143">
        <v>198</v>
      </c>
      <c r="E23" s="144">
        <f>C23*D23</f>
        <v>8514</v>
      </c>
      <c r="F23" s="144">
        <f>E23</f>
        <v>8514</v>
      </c>
      <c r="G23" s="144">
        <v>60</v>
      </c>
      <c r="H23" s="143">
        <v>198</v>
      </c>
      <c r="I23" s="149">
        <f>H23*G23</f>
        <v>11880</v>
      </c>
    </row>
    <row r="24" spans="2:9" s="22" customFormat="1" ht="19.5" customHeight="1">
      <c r="B24" s="3" t="s">
        <v>106</v>
      </c>
      <c r="C24" s="2">
        <v>111</v>
      </c>
      <c r="D24" s="143">
        <v>173</v>
      </c>
      <c r="E24" s="144">
        <f>C24*D24</f>
        <v>19203</v>
      </c>
      <c r="F24" s="144">
        <f>E24</f>
        <v>19203</v>
      </c>
      <c r="G24" s="144">
        <v>43</v>
      </c>
      <c r="H24" s="143">
        <v>173</v>
      </c>
      <c r="I24" s="149">
        <f>H24*G24</f>
        <v>7439</v>
      </c>
    </row>
    <row r="25" spans="2:9" s="22" customFormat="1" ht="19.5" customHeight="1">
      <c r="B25" s="3" t="s">
        <v>107</v>
      </c>
      <c r="C25" s="2">
        <v>9</v>
      </c>
      <c r="D25" s="143">
        <v>173</v>
      </c>
      <c r="E25" s="144">
        <f>C25*D25</f>
        <v>1557</v>
      </c>
      <c r="F25" s="144">
        <f>E25</f>
        <v>1557</v>
      </c>
      <c r="G25" s="144">
        <v>0</v>
      </c>
      <c r="H25" s="143">
        <v>173</v>
      </c>
      <c r="I25" s="149">
        <f>H25*G25</f>
        <v>0</v>
      </c>
    </row>
    <row r="26" spans="2:9" s="22" customFormat="1" ht="19.5" customHeight="1">
      <c r="B26" s="16" t="s">
        <v>26</v>
      </c>
      <c r="C26" s="16">
        <f>SUM(C23:C25)</f>
        <v>163</v>
      </c>
      <c r="D26" s="16"/>
      <c r="E26" s="145">
        <f>SUM(E23:E25)</f>
        <v>29274</v>
      </c>
      <c r="F26" s="145">
        <f>SUM(F23:F25)</f>
        <v>29274</v>
      </c>
      <c r="G26" s="145">
        <f>SUM(G23:G25)</f>
        <v>103</v>
      </c>
      <c r="H26" s="5"/>
      <c r="I26" s="151">
        <f>SUM(I23:I25)</f>
        <v>19319</v>
      </c>
    </row>
    <row r="28" spans="2:9" s="26" customFormat="1" ht="15">
      <c r="B28" s="548" t="s">
        <v>443</v>
      </c>
      <c r="C28" s="548"/>
      <c r="D28" s="548"/>
      <c r="E28" s="548"/>
      <c r="F28" s="548"/>
      <c r="G28" s="548"/>
      <c r="H28" s="548"/>
      <c r="I28" s="548"/>
    </row>
    <row r="29" spans="2:9" ht="15">
      <c r="B29" s="35"/>
      <c r="C29" s="35"/>
      <c r="D29" s="35"/>
      <c r="E29" s="35"/>
      <c r="F29" s="35"/>
      <c r="G29" s="35"/>
      <c r="H29" s="35"/>
      <c r="I29" s="1"/>
    </row>
    <row r="30" spans="2:9" ht="15" customHeight="1">
      <c r="B30" s="550" t="s">
        <v>109</v>
      </c>
      <c r="C30" s="549" t="s">
        <v>438</v>
      </c>
      <c r="D30" s="549"/>
      <c r="E30" s="549"/>
      <c r="F30" s="549"/>
      <c r="G30" s="549" t="s">
        <v>439</v>
      </c>
      <c r="H30" s="549"/>
      <c r="I30" s="549"/>
    </row>
    <row r="31" spans="2:9" ht="27" customHeight="1">
      <c r="B31" s="550"/>
      <c r="C31" s="225" t="s">
        <v>110</v>
      </c>
      <c r="D31" s="18" t="s">
        <v>111</v>
      </c>
      <c r="E31" s="18" t="s">
        <v>120</v>
      </c>
      <c r="F31" s="18" t="s">
        <v>325</v>
      </c>
      <c r="G31" s="17" t="s">
        <v>110</v>
      </c>
      <c r="H31" s="18" t="s">
        <v>111</v>
      </c>
      <c r="I31" s="18" t="s">
        <v>120</v>
      </c>
    </row>
    <row r="32" spans="2:9" s="22" customFormat="1" ht="19.5" customHeight="1">
      <c r="B32" s="3" t="s">
        <v>105</v>
      </c>
      <c r="C32" s="2">
        <v>43</v>
      </c>
      <c r="D32" s="143">
        <v>1000</v>
      </c>
      <c r="E32" s="144">
        <f>C32*D32</f>
        <v>43000</v>
      </c>
      <c r="F32" s="144">
        <f>E32</f>
        <v>43000</v>
      </c>
      <c r="G32" s="144">
        <v>60</v>
      </c>
      <c r="H32" s="150">
        <v>1000</v>
      </c>
      <c r="I32" s="149">
        <f>G32*H32</f>
        <v>60000</v>
      </c>
    </row>
    <row r="33" spans="2:9" s="22" customFormat="1" ht="19.5" customHeight="1">
      <c r="B33" s="3" t="s">
        <v>106</v>
      </c>
      <c r="C33" s="2">
        <v>111</v>
      </c>
      <c r="D33" s="143">
        <v>1000</v>
      </c>
      <c r="E33" s="144">
        <f>C33*D33</f>
        <v>111000</v>
      </c>
      <c r="F33" s="144">
        <f>E33</f>
        <v>111000</v>
      </c>
      <c r="G33" s="144">
        <v>43</v>
      </c>
      <c r="H33" s="150">
        <v>1000</v>
      </c>
      <c r="I33" s="149">
        <f>G33*H33</f>
        <v>43000</v>
      </c>
    </row>
    <row r="34" spans="2:9" s="22" customFormat="1" ht="19.5" customHeight="1">
      <c r="B34" s="3" t="s">
        <v>107</v>
      </c>
      <c r="C34" s="2">
        <v>9</v>
      </c>
      <c r="D34" s="143">
        <v>1000</v>
      </c>
      <c r="E34" s="144">
        <f>C34*D34</f>
        <v>9000</v>
      </c>
      <c r="F34" s="144">
        <f>E34</f>
        <v>9000</v>
      </c>
      <c r="G34" s="144">
        <v>0</v>
      </c>
      <c r="H34" s="150">
        <v>1000</v>
      </c>
      <c r="I34" s="149">
        <f>G34*H34</f>
        <v>0</v>
      </c>
    </row>
    <row r="35" spans="2:9" s="22" customFormat="1" ht="19.5" customHeight="1">
      <c r="B35" s="16" t="s">
        <v>26</v>
      </c>
      <c r="C35" s="16">
        <f>SUM(C32:C34)</f>
        <v>163</v>
      </c>
      <c r="D35" s="16"/>
      <c r="E35" s="145">
        <f>SUM(E32:E34)</f>
        <v>163000</v>
      </c>
      <c r="F35" s="145">
        <f>SUM(F32:F34)</f>
        <v>163000</v>
      </c>
      <c r="G35" s="145">
        <f>SUM(G32:G34)</f>
        <v>103</v>
      </c>
      <c r="H35" s="5"/>
      <c r="I35" s="151">
        <f>SUM(I32:I34)</f>
        <v>103000</v>
      </c>
    </row>
    <row r="40" spans="2:9" ht="15">
      <c r="B40" s="547" t="s">
        <v>352</v>
      </c>
      <c r="C40" s="547"/>
      <c r="D40" s="547"/>
      <c r="E40" s="547"/>
      <c r="F40" s="547"/>
      <c r="G40" s="547"/>
      <c r="H40" s="547"/>
      <c r="I40" s="547"/>
    </row>
    <row r="42" spans="2:9" s="26" customFormat="1" ht="15">
      <c r="B42" s="548" t="s">
        <v>419</v>
      </c>
      <c r="C42" s="548"/>
      <c r="D42" s="548"/>
      <c r="E42" s="548"/>
      <c r="F42" s="548"/>
      <c r="G42" s="548"/>
      <c r="H42" s="548"/>
      <c r="I42" s="548"/>
    </row>
    <row r="43" spans="2:9" ht="15">
      <c r="B43" s="35"/>
      <c r="C43" s="35"/>
      <c r="D43" s="35"/>
      <c r="E43" s="35"/>
      <c r="F43" s="35"/>
      <c r="G43" s="35"/>
      <c r="H43" s="35"/>
      <c r="I43" s="1"/>
    </row>
    <row r="44" spans="2:9" ht="15" customHeight="1">
      <c r="B44" s="550" t="s">
        <v>109</v>
      </c>
      <c r="C44" s="549" t="s">
        <v>438</v>
      </c>
      <c r="D44" s="549"/>
      <c r="E44" s="549"/>
      <c r="F44" s="549"/>
      <c r="G44" s="549" t="s">
        <v>439</v>
      </c>
      <c r="H44" s="549"/>
      <c r="I44" s="549"/>
    </row>
    <row r="45" spans="2:9" ht="25.5">
      <c r="B45" s="550"/>
      <c r="C45" s="225" t="s">
        <v>110</v>
      </c>
      <c r="D45" s="18" t="s">
        <v>111</v>
      </c>
      <c r="E45" s="18" t="s">
        <v>120</v>
      </c>
      <c r="F45" s="18" t="s">
        <v>325</v>
      </c>
      <c r="G45" s="17" t="s">
        <v>110</v>
      </c>
      <c r="H45" s="18" t="s">
        <v>111</v>
      </c>
      <c r="I45" s="18" t="s">
        <v>120</v>
      </c>
    </row>
    <row r="46" spans="2:9" s="22" customFormat="1" ht="19.5" customHeight="1">
      <c r="B46" s="3" t="s">
        <v>105</v>
      </c>
      <c r="C46" s="2">
        <v>43</v>
      </c>
      <c r="D46" s="143">
        <v>25</v>
      </c>
      <c r="E46" s="144">
        <f>C46*D46</f>
        <v>1075</v>
      </c>
      <c r="F46" s="144">
        <f>E46</f>
        <v>1075</v>
      </c>
      <c r="G46" s="144">
        <v>60</v>
      </c>
      <c r="H46" s="150">
        <v>25</v>
      </c>
      <c r="I46" s="149">
        <f>H46*G46</f>
        <v>1500</v>
      </c>
    </row>
    <row r="47" spans="2:9" s="22" customFormat="1" ht="19.5" customHeight="1">
      <c r="B47" s="3" t="s">
        <v>106</v>
      </c>
      <c r="C47" s="2">
        <v>111</v>
      </c>
      <c r="D47" s="143">
        <v>25</v>
      </c>
      <c r="E47" s="144">
        <f>C47*D47</f>
        <v>2775</v>
      </c>
      <c r="F47" s="144">
        <f>E47</f>
        <v>2775</v>
      </c>
      <c r="G47" s="144">
        <v>43</v>
      </c>
      <c r="H47" s="150">
        <v>25</v>
      </c>
      <c r="I47" s="149">
        <f>H47*G47</f>
        <v>1075</v>
      </c>
    </row>
    <row r="48" spans="2:9" s="22" customFormat="1" ht="19.5" customHeight="1">
      <c r="B48" s="3" t="s">
        <v>107</v>
      </c>
      <c r="C48" s="2">
        <v>9</v>
      </c>
      <c r="D48" s="143">
        <v>25</v>
      </c>
      <c r="E48" s="144">
        <f>C48*D48</f>
        <v>225</v>
      </c>
      <c r="F48" s="144">
        <f>E48</f>
        <v>225</v>
      </c>
      <c r="G48" s="144">
        <v>0</v>
      </c>
      <c r="H48" s="150">
        <v>25</v>
      </c>
      <c r="I48" s="149">
        <f>H48*G48</f>
        <v>0</v>
      </c>
    </row>
    <row r="49" spans="2:9" s="22" customFormat="1" ht="19.5" customHeight="1">
      <c r="B49" s="16" t="s">
        <v>26</v>
      </c>
      <c r="C49" s="16">
        <f>SUM(C46:C48)</f>
        <v>163</v>
      </c>
      <c r="D49" s="16"/>
      <c r="E49" s="145">
        <f>SUM(E46:E48)</f>
        <v>4075</v>
      </c>
      <c r="F49" s="145">
        <f>SUM(F46:F48)</f>
        <v>4075</v>
      </c>
      <c r="G49" s="145">
        <f>SUM(G46:G48)</f>
        <v>103</v>
      </c>
      <c r="H49" s="5"/>
      <c r="I49" s="151">
        <f>SUM(I46:I48)</f>
        <v>2575</v>
      </c>
    </row>
    <row r="51" spans="2:9" ht="15" customHeight="1">
      <c r="B51" s="550" t="s">
        <v>109</v>
      </c>
      <c r="C51" s="551" t="s">
        <v>440</v>
      </c>
      <c r="D51" s="552"/>
      <c r="E51" s="552"/>
      <c r="F51" s="553"/>
      <c r="G51" s="549" t="s">
        <v>441</v>
      </c>
      <c r="H51" s="549"/>
      <c r="I51" s="549"/>
    </row>
    <row r="52" spans="2:9" ht="25.5">
      <c r="B52" s="550"/>
      <c r="C52" s="225" t="s">
        <v>110</v>
      </c>
      <c r="D52" s="18" t="s">
        <v>420</v>
      </c>
      <c r="E52" s="18" t="s">
        <v>120</v>
      </c>
      <c r="F52" s="18" t="s">
        <v>421</v>
      </c>
      <c r="G52" s="17" t="s">
        <v>110</v>
      </c>
      <c r="H52" s="18" t="s">
        <v>111</v>
      </c>
      <c r="I52" s="18" t="s">
        <v>422</v>
      </c>
    </row>
    <row r="53" spans="2:9" s="22" customFormat="1" ht="19.5" customHeight="1">
      <c r="B53" s="3" t="s">
        <v>105</v>
      </c>
      <c r="C53" s="2">
        <v>43</v>
      </c>
      <c r="D53" s="143">
        <v>21</v>
      </c>
      <c r="E53" s="144">
        <f>C53*D53</f>
        <v>903</v>
      </c>
      <c r="F53" s="144">
        <f>E53</f>
        <v>903</v>
      </c>
      <c r="G53" s="144">
        <v>60</v>
      </c>
      <c r="H53" s="150">
        <v>21</v>
      </c>
      <c r="I53" s="149">
        <f>H53*G53</f>
        <v>1260</v>
      </c>
    </row>
    <row r="54" spans="2:9" s="22" customFormat="1" ht="19.5" customHeight="1">
      <c r="B54" s="3" t="s">
        <v>106</v>
      </c>
      <c r="C54" s="2">
        <v>111</v>
      </c>
      <c r="D54" s="143">
        <v>21</v>
      </c>
      <c r="E54" s="144">
        <f>C54*D54</f>
        <v>2331</v>
      </c>
      <c r="F54" s="144">
        <f>E54</f>
        <v>2331</v>
      </c>
      <c r="G54" s="144">
        <v>43</v>
      </c>
      <c r="H54" s="150">
        <v>21</v>
      </c>
      <c r="I54" s="149">
        <f>H54*G54</f>
        <v>903</v>
      </c>
    </row>
    <row r="55" spans="2:9" s="22" customFormat="1" ht="19.5" customHeight="1">
      <c r="B55" s="3" t="s">
        <v>107</v>
      </c>
      <c r="C55" s="2">
        <v>9</v>
      </c>
      <c r="D55" s="143">
        <v>21</v>
      </c>
      <c r="E55" s="144">
        <f>C55*D55</f>
        <v>189</v>
      </c>
      <c r="F55" s="144">
        <f>E55</f>
        <v>189</v>
      </c>
      <c r="G55" s="144">
        <v>0</v>
      </c>
      <c r="H55" s="150">
        <v>21</v>
      </c>
      <c r="I55" s="149">
        <f>H55*G55</f>
        <v>0</v>
      </c>
    </row>
    <row r="56" spans="2:9" s="22" customFormat="1" ht="19.5" customHeight="1">
      <c r="B56" s="16" t="s">
        <v>26</v>
      </c>
      <c r="C56" s="16">
        <f>SUM(C53:C55)</f>
        <v>163</v>
      </c>
      <c r="D56" s="16"/>
      <c r="E56" s="145">
        <f>SUM(E53:E55)</f>
        <v>3423</v>
      </c>
      <c r="F56" s="145">
        <f>SUM(F53:F55)</f>
        <v>3423</v>
      </c>
      <c r="G56" s="145">
        <f>SUM(G53:G55)</f>
        <v>103</v>
      </c>
      <c r="H56" s="5"/>
      <c r="I56" s="151">
        <f>SUM(I53:I55)</f>
        <v>2163</v>
      </c>
    </row>
    <row r="59" spans="2:8" ht="15">
      <c r="B59" s="548" t="s">
        <v>444</v>
      </c>
      <c r="C59" s="548"/>
      <c r="D59" s="548"/>
      <c r="E59" s="548"/>
      <c r="F59" s="548"/>
      <c r="G59" s="548"/>
      <c r="H59" s="548"/>
    </row>
    <row r="60" spans="2:8" ht="15">
      <c r="B60" s="35"/>
      <c r="C60" s="35"/>
      <c r="D60" s="35"/>
      <c r="E60" s="35"/>
      <c r="F60" s="35"/>
      <c r="G60" s="35"/>
      <c r="H60" s="1"/>
    </row>
    <row r="61" spans="2:9" ht="15" customHeight="1">
      <c r="B61" s="554" t="s">
        <v>109</v>
      </c>
      <c r="C61" s="554" t="s">
        <v>110</v>
      </c>
      <c r="D61" s="551" t="s">
        <v>438</v>
      </c>
      <c r="E61" s="552"/>
      <c r="F61" s="553"/>
      <c r="G61" s="549" t="s">
        <v>439</v>
      </c>
      <c r="H61" s="549"/>
      <c r="I61" s="549"/>
    </row>
    <row r="62" spans="2:9" ht="27" customHeight="1">
      <c r="B62" s="555"/>
      <c r="C62" s="555"/>
      <c r="D62" s="18" t="s">
        <v>111</v>
      </c>
      <c r="E62" s="18" t="s">
        <v>120</v>
      </c>
      <c r="F62" s="18" t="s">
        <v>325</v>
      </c>
      <c r="G62" s="17" t="s">
        <v>110</v>
      </c>
      <c r="H62" s="18" t="s">
        <v>111</v>
      </c>
      <c r="I62" s="18" t="s">
        <v>120</v>
      </c>
    </row>
    <row r="63" spans="2:9" ht="19.5" customHeight="1">
      <c r="B63" s="3" t="s">
        <v>105</v>
      </c>
      <c r="C63" s="2">
        <v>43</v>
      </c>
      <c r="D63" s="143">
        <v>200</v>
      </c>
      <c r="E63" s="144">
        <f>C63*D63</f>
        <v>8600</v>
      </c>
      <c r="F63" s="144">
        <f>E63</f>
        <v>8600</v>
      </c>
      <c r="G63" s="144">
        <v>60</v>
      </c>
      <c r="H63" s="150">
        <v>200</v>
      </c>
      <c r="I63" s="149">
        <f>H63*G63</f>
        <v>12000</v>
      </c>
    </row>
    <row r="64" spans="2:9" ht="19.5" customHeight="1">
      <c r="B64" s="3" t="s">
        <v>106</v>
      </c>
      <c r="C64" s="2">
        <v>111</v>
      </c>
      <c r="D64" s="143">
        <v>500</v>
      </c>
      <c r="E64" s="144">
        <f>C64*D64</f>
        <v>55500</v>
      </c>
      <c r="F64" s="144">
        <f>E64</f>
        <v>55500</v>
      </c>
      <c r="G64" s="144">
        <v>43</v>
      </c>
      <c r="H64" s="150">
        <v>500</v>
      </c>
      <c r="I64" s="149">
        <f>H64*G64</f>
        <v>21500</v>
      </c>
    </row>
    <row r="65" spans="2:9" ht="19.5" customHeight="1">
      <c r="B65" s="3" t="s">
        <v>107</v>
      </c>
      <c r="C65" s="2">
        <v>9</v>
      </c>
      <c r="D65" s="143">
        <v>0</v>
      </c>
      <c r="E65" s="144">
        <f>C65*D65</f>
        <v>0</v>
      </c>
      <c r="F65" s="144">
        <f>E65</f>
        <v>0</v>
      </c>
      <c r="G65" s="144">
        <v>0</v>
      </c>
      <c r="H65" s="150">
        <v>0</v>
      </c>
      <c r="I65" s="149">
        <f>H65*G65</f>
        <v>0</v>
      </c>
    </row>
    <row r="66" spans="2:9" ht="19.5" customHeight="1">
      <c r="B66" s="16" t="s">
        <v>26</v>
      </c>
      <c r="C66" s="16">
        <f>SUM(C63:C65)</f>
        <v>163</v>
      </c>
      <c r="D66" s="16"/>
      <c r="E66" s="145">
        <f>SUM(E63:E65)</f>
        <v>64100</v>
      </c>
      <c r="F66" s="145">
        <f>SUM(F63:F65)</f>
        <v>64100</v>
      </c>
      <c r="G66" s="145">
        <f>SUM(G63:G65)</f>
        <v>103</v>
      </c>
      <c r="H66" s="5"/>
      <c r="I66" s="151">
        <f>SUM(I63:I65)</f>
        <v>33500</v>
      </c>
    </row>
    <row r="69" spans="2:8" ht="15">
      <c r="B69" s="548" t="s">
        <v>445</v>
      </c>
      <c r="C69" s="548"/>
      <c r="D69" s="548"/>
      <c r="E69" s="548"/>
      <c r="F69" s="548"/>
      <c r="G69" s="548"/>
      <c r="H69" s="548"/>
    </row>
    <row r="70" spans="2:8" ht="15">
      <c r="B70" s="35"/>
      <c r="C70" s="35"/>
      <c r="D70" s="35"/>
      <c r="E70" s="35"/>
      <c r="F70" s="35"/>
      <c r="G70" s="35"/>
      <c r="H70" s="1"/>
    </row>
    <row r="71" spans="2:9" ht="15" customHeight="1">
      <c r="B71" s="554" t="s">
        <v>109</v>
      </c>
      <c r="C71" s="554" t="s">
        <v>110</v>
      </c>
      <c r="D71" s="551" t="s">
        <v>438</v>
      </c>
      <c r="E71" s="552"/>
      <c r="F71" s="553"/>
      <c r="G71" s="549" t="s">
        <v>439</v>
      </c>
      <c r="H71" s="549"/>
      <c r="I71" s="549"/>
    </row>
    <row r="72" spans="2:9" ht="27" customHeight="1">
      <c r="B72" s="555"/>
      <c r="C72" s="555"/>
      <c r="D72" s="18" t="s">
        <v>111</v>
      </c>
      <c r="E72" s="18" t="s">
        <v>120</v>
      </c>
      <c r="F72" s="18" t="s">
        <v>325</v>
      </c>
      <c r="G72" s="17" t="s">
        <v>110</v>
      </c>
      <c r="H72" s="18" t="s">
        <v>111</v>
      </c>
      <c r="I72" s="18" t="s">
        <v>120</v>
      </c>
    </row>
    <row r="73" spans="2:9" ht="19.5" customHeight="1">
      <c r="B73" s="3" t="s">
        <v>105</v>
      </c>
      <c r="C73" s="2">
        <v>43</v>
      </c>
      <c r="D73" s="143">
        <v>2500</v>
      </c>
      <c r="E73" s="144">
        <f>C73*D73</f>
        <v>107500</v>
      </c>
      <c r="F73" s="144">
        <f>E73</f>
        <v>107500</v>
      </c>
      <c r="G73" s="144">
        <v>60</v>
      </c>
      <c r="H73" s="150">
        <v>2500</v>
      </c>
      <c r="I73" s="297">
        <f>H73*G73</f>
        <v>150000</v>
      </c>
    </row>
  </sheetData>
  <sheetProtection/>
  <mergeCells count="34">
    <mergeCell ref="B69:H69"/>
    <mergeCell ref="B51:B52"/>
    <mergeCell ref="C51:F51"/>
    <mergeCell ref="G51:I51"/>
    <mergeCell ref="B71:B72"/>
    <mergeCell ref="C71:C72"/>
    <mergeCell ref="D71:F71"/>
    <mergeCell ref="G61:I61"/>
    <mergeCell ref="G71:I71"/>
    <mergeCell ref="B59:H59"/>
    <mergeCell ref="C7:F7"/>
    <mergeCell ref="G7:I7"/>
    <mergeCell ref="B7:B8"/>
    <mergeCell ref="B30:B31"/>
    <mergeCell ref="B21:B22"/>
    <mergeCell ref="C30:F30"/>
    <mergeCell ref="B28:I28"/>
    <mergeCell ref="B40:I40"/>
    <mergeCell ref="C21:F21"/>
    <mergeCell ref="G30:I30"/>
    <mergeCell ref="C14:F14"/>
    <mergeCell ref="B61:B62"/>
    <mergeCell ref="C61:C62"/>
    <mergeCell ref="D61:F61"/>
    <mergeCell ref="B3:I3"/>
    <mergeCell ref="B5:I5"/>
    <mergeCell ref="B12:I12"/>
    <mergeCell ref="G21:I21"/>
    <mergeCell ref="B44:B45"/>
    <mergeCell ref="B42:I42"/>
    <mergeCell ref="B14:B15"/>
    <mergeCell ref="G14:I14"/>
    <mergeCell ref="G44:I44"/>
    <mergeCell ref="C44:F44"/>
  </mergeCells>
  <printOptions/>
  <pageMargins left="0.2362204724409449" right="0.15748031496062992" top="0.7480314960629921" bottom="0.7480314960629921" header="0.31496062992125984" footer="0.31496062992125984"/>
  <pageSetup horizontalDpi="600" verticalDpi="600" orientation="portrait" scale="97" r:id="rId1"/>
  <rowBreaks count="1" manualBreakCount="1">
    <brk id="38" max="8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4:H21"/>
  <sheetViews>
    <sheetView zoomScalePageLayoutView="0" workbookViewId="0" topLeftCell="A4">
      <selection activeCell="D8" sqref="D8:E8"/>
    </sheetView>
  </sheetViews>
  <sheetFormatPr defaultColWidth="9.140625" defaultRowHeight="12.75"/>
  <cols>
    <col min="1" max="1" width="9.140625" style="1" customWidth="1"/>
    <col min="2" max="2" width="7.8515625" style="1" bestFit="1" customWidth="1"/>
    <col min="3" max="3" width="32.140625" style="1" customWidth="1"/>
    <col min="4" max="4" width="18.7109375" style="1" customWidth="1"/>
    <col min="5" max="5" width="20.00390625" style="1" customWidth="1"/>
    <col min="6" max="16384" width="9.140625" style="1" customWidth="1"/>
  </cols>
  <sheetData>
    <row r="4" spans="2:5" ht="16.5">
      <c r="B4" s="561" t="s">
        <v>400</v>
      </c>
      <c r="C4" s="561"/>
      <c r="D4" s="561"/>
      <c r="E4" s="561"/>
    </row>
    <row r="5" spans="2:5" ht="16.5">
      <c r="B5" s="53"/>
      <c r="C5" s="53"/>
      <c r="D5" s="53"/>
      <c r="E5" s="53"/>
    </row>
    <row r="6" spans="2:5" ht="16.5">
      <c r="B6" s="560" t="s">
        <v>142</v>
      </c>
      <c r="C6" s="560"/>
      <c r="D6" s="560"/>
      <c r="E6" s="560"/>
    </row>
    <row r="8" spans="2:5" ht="51">
      <c r="B8" s="18" t="s">
        <v>40</v>
      </c>
      <c r="C8" s="18" t="s">
        <v>41</v>
      </c>
      <c r="D8" s="75" t="s">
        <v>520</v>
      </c>
      <c r="E8" s="18" t="s">
        <v>547</v>
      </c>
    </row>
    <row r="9" spans="2:5" s="4" customFormat="1" ht="30">
      <c r="B9" s="27">
        <v>1</v>
      </c>
      <c r="C9" s="59" t="s">
        <v>414</v>
      </c>
      <c r="D9" s="328">
        <v>1360</v>
      </c>
      <c r="E9" s="417">
        <v>15000</v>
      </c>
    </row>
    <row r="10" spans="2:5" s="4" customFormat="1" ht="15">
      <c r="B10" s="27">
        <v>2</v>
      </c>
      <c r="C10" s="59" t="s">
        <v>415</v>
      </c>
      <c r="D10" s="328">
        <v>690</v>
      </c>
      <c r="E10" s="417">
        <v>5000</v>
      </c>
    </row>
    <row r="11" spans="2:5" ht="15.75">
      <c r="B11" s="33"/>
      <c r="C11" s="33" t="s">
        <v>26</v>
      </c>
      <c r="D11" s="418">
        <f>SUM(D9:D10)</f>
        <v>2050</v>
      </c>
      <c r="E11" s="418">
        <f>SUM(E9:E10)</f>
        <v>20000</v>
      </c>
    </row>
    <row r="13" ht="15">
      <c r="E13" s="80" t="s">
        <v>79</v>
      </c>
    </row>
    <row r="15" spans="2:6" ht="27" customHeight="1">
      <c r="B15" s="617" t="s">
        <v>778</v>
      </c>
      <c r="C15" s="617"/>
      <c r="D15" s="617"/>
      <c r="E15" s="617"/>
      <c r="F15" s="270"/>
    </row>
    <row r="17" spans="1:8" ht="19.5" customHeight="1">
      <c r="A17" s="4"/>
      <c r="B17" s="41" t="s">
        <v>171</v>
      </c>
      <c r="C17" s="268" t="s">
        <v>140</v>
      </c>
      <c r="D17" s="269"/>
      <c r="E17" s="16" t="s">
        <v>201</v>
      </c>
      <c r="G17" s="4"/>
      <c r="H17" s="4"/>
    </row>
    <row r="18" spans="1:8" ht="19.5" customHeight="1">
      <c r="A18" s="4"/>
      <c r="B18" s="2">
        <v>1</v>
      </c>
      <c r="C18" s="588" t="s">
        <v>777</v>
      </c>
      <c r="D18" s="589"/>
      <c r="E18" s="71">
        <v>10000</v>
      </c>
      <c r="G18" s="4"/>
      <c r="H18" s="4"/>
    </row>
    <row r="19" spans="1:8" ht="19.5" customHeight="1">
      <c r="A19" s="4"/>
      <c r="B19" s="2">
        <v>2</v>
      </c>
      <c r="C19" s="588" t="s">
        <v>776</v>
      </c>
      <c r="D19" s="589"/>
      <c r="E19" s="71">
        <v>5000</v>
      </c>
      <c r="G19" s="4"/>
      <c r="H19" s="4"/>
    </row>
    <row r="20" spans="1:8" ht="19.5" customHeight="1">
      <c r="A20" s="4"/>
      <c r="B20" s="2">
        <v>3</v>
      </c>
      <c r="C20" s="588" t="s">
        <v>433</v>
      </c>
      <c r="D20" s="589"/>
      <c r="E20" s="71">
        <v>5000</v>
      </c>
      <c r="G20" s="4"/>
      <c r="H20" s="4"/>
    </row>
    <row r="21" spans="1:8" ht="19.5" customHeight="1">
      <c r="A21" s="4"/>
      <c r="B21" s="3"/>
      <c r="C21" s="551" t="s">
        <v>202</v>
      </c>
      <c r="D21" s="553"/>
      <c r="E21" s="72">
        <f>SUM(E18:E20)</f>
        <v>20000</v>
      </c>
      <c r="G21" s="4"/>
      <c r="H21" s="4"/>
    </row>
  </sheetData>
  <sheetProtection/>
  <mergeCells count="7">
    <mergeCell ref="C21:D21"/>
    <mergeCell ref="C20:D20"/>
    <mergeCell ref="B4:E4"/>
    <mergeCell ref="B6:E6"/>
    <mergeCell ref="B15:E15"/>
    <mergeCell ref="C18:D18"/>
    <mergeCell ref="C19:D19"/>
  </mergeCells>
  <printOptions/>
  <pageMargins left="0.7" right="0.7" top="0.75" bottom="0.75" header="0.3" footer="0.3"/>
  <pageSetup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D22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2.8515625" style="1" customWidth="1"/>
    <col min="2" max="2" width="14.00390625" style="1" customWidth="1"/>
    <col min="3" max="3" width="40.7109375" style="1" customWidth="1"/>
    <col min="4" max="4" width="12.57421875" style="1" customWidth="1"/>
    <col min="5" max="16384" width="9.140625" style="1" customWidth="1"/>
  </cols>
  <sheetData>
    <row r="2" spans="2:4" ht="15.75">
      <c r="B2" s="568" t="s">
        <v>370</v>
      </c>
      <c r="C2" s="568"/>
      <c r="D2" s="568"/>
    </row>
    <row r="3" spans="2:4" ht="15.75">
      <c r="B3" s="237"/>
      <c r="C3" s="237"/>
      <c r="D3" s="191"/>
    </row>
    <row r="4" spans="2:4" ht="15.75">
      <c r="B4" s="567" t="s">
        <v>375</v>
      </c>
      <c r="C4" s="567"/>
      <c r="D4" s="567"/>
    </row>
    <row r="5" spans="2:4" ht="15.75">
      <c r="B5" s="237"/>
      <c r="C5" s="237"/>
      <c r="D5" s="191"/>
    </row>
    <row r="6" spans="2:4" ht="15">
      <c r="B6" s="613" t="s">
        <v>575</v>
      </c>
      <c r="C6" s="613"/>
      <c r="D6" s="613"/>
    </row>
    <row r="7" spans="2:4" ht="15">
      <c r="B7" s="192"/>
      <c r="C7" s="192"/>
      <c r="D7" s="191"/>
    </row>
    <row r="8" spans="2:4" s="50" customFormat="1" ht="24.75" customHeight="1">
      <c r="B8" s="74" t="s">
        <v>137</v>
      </c>
      <c r="C8" s="74" t="s">
        <v>109</v>
      </c>
      <c r="D8" s="194" t="s">
        <v>202</v>
      </c>
    </row>
    <row r="9" spans="2:4" ht="32.25" customHeight="1">
      <c r="B9" s="195" t="s">
        <v>779</v>
      </c>
      <c r="C9" s="196" t="s">
        <v>780</v>
      </c>
      <c r="D9" s="82">
        <v>900</v>
      </c>
    </row>
    <row r="10" spans="2:4" ht="15">
      <c r="B10" s="195" t="s">
        <v>781</v>
      </c>
      <c r="C10" s="196" t="s">
        <v>782</v>
      </c>
      <c r="D10" s="82">
        <v>460</v>
      </c>
    </row>
    <row r="11" spans="2:4" ht="15.75">
      <c r="B11" s="58"/>
      <c r="C11" s="102" t="s">
        <v>367</v>
      </c>
      <c r="D11" s="193">
        <f>SUM(D9:D10)</f>
        <v>1360</v>
      </c>
    </row>
    <row r="14" spans="2:4" ht="15.75">
      <c r="B14" s="567" t="s">
        <v>376</v>
      </c>
      <c r="C14" s="567"/>
      <c r="D14" s="567"/>
    </row>
    <row r="15" spans="2:4" ht="15.75">
      <c r="B15" s="237"/>
      <c r="C15" s="237"/>
      <c r="D15" s="191"/>
    </row>
    <row r="16" spans="2:4" ht="15">
      <c r="B16" s="613" t="s">
        <v>575</v>
      </c>
      <c r="C16" s="613"/>
      <c r="D16" s="191"/>
    </row>
    <row r="17" spans="2:4" ht="15">
      <c r="B17" s="414"/>
      <c r="C17" s="414"/>
      <c r="D17" s="191"/>
    </row>
    <row r="18" spans="2:4" ht="24">
      <c r="B18" s="91" t="s">
        <v>137</v>
      </c>
      <c r="C18" s="90" t="s">
        <v>109</v>
      </c>
      <c r="D18" s="194" t="s">
        <v>202</v>
      </c>
    </row>
    <row r="19" spans="2:4" ht="27">
      <c r="B19" s="248" t="s">
        <v>706</v>
      </c>
      <c r="C19" s="250" t="s">
        <v>783</v>
      </c>
      <c r="D19" s="249">
        <v>690</v>
      </c>
    </row>
    <row r="20" spans="2:4" ht="15.75">
      <c r="B20" s="58"/>
      <c r="C20" s="102" t="s">
        <v>368</v>
      </c>
      <c r="D20" s="193">
        <f>SUM(D19:D19)</f>
        <v>690</v>
      </c>
    </row>
    <row r="22" spans="3:4" ht="15.75">
      <c r="C22" s="102" t="s">
        <v>369</v>
      </c>
      <c r="D22" s="193">
        <f>D11+D20</f>
        <v>2050</v>
      </c>
    </row>
  </sheetData>
  <sheetProtection/>
  <mergeCells count="5">
    <mergeCell ref="B16:C16"/>
    <mergeCell ref="B6:D6"/>
    <mergeCell ref="B2:D2"/>
    <mergeCell ref="B4:D4"/>
    <mergeCell ref="B14:D14"/>
  </mergeCells>
  <printOptions/>
  <pageMargins left="0.7" right="0.7" top="0.4" bottom="0.8" header="0.3" footer="0.3"/>
  <pageSetup horizontalDpi="600" verticalDpi="6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E22"/>
  <sheetViews>
    <sheetView zoomScalePageLayoutView="0" workbookViewId="0" topLeftCell="A1">
      <selection activeCell="D8" sqref="D8:E8"/>
    </sheetView>
  </sheetViews>
  <sheetFormatPr defaultColWidth="9.140625" defaultRowHeight="12.75"/>
  <cols>
    <col min="1" max="1" width="3.7109375" style="1" customWidth="1"/>
    <col min="2" max="2" width="12.28125" style="1" customWidth="1"/>
    <col min="3" max="3" width="40.7109375" style="1" customWidth="1"/>
    <col min="4" max="4" width="15.7109375" style="1" customWidth="1"/>
    <col min="5" max="5" width="15.28125" style="1" customWidth="1"/>
    <col min="6" max="16384" width="9.140625" style="1" customWidth="1"/>
  </cols>
  <sheetData>
    <row r="2" spans="2:5" ht="15.75">
      <c r="B2" s="568"/>
      <c r="C2" s="568"/>
      <c r="D2" s="568"/>
      <c r="E2" s="568"/>
    </row>
    <row r="3" spans="2:4" ht="15.75">
      <c r="B3" s="413"/>
      <c r="C3" s="413"/>
      <c r="D3" s="191"/>
    </row>
    <row r="4" spans="2:5" ht="16.5">
      <c r="B4" s="561" t="s">
        <v>401</v>
      </c>
      <c r="C4" s="561"/>
      <c r="D4" s="561"/>
      <c r="E4" s="561"/>
    </row>
    <row r="5" spans="2:5" ht="16.5">
      <c r="B5" s="53"/>
      <c r="C5" s="53"/>
      <c r="D5" s="53"/>
      <c r="E5" s="53"/>
    </row>
    <row r="6" spans="2:5" ht="16.5">
      <c r="B6" s="560" t="s">
        <v>784</v>
      </c>
      <c r="C6" s="560"/>
      <c r="D6" s="560"/>
      <c r="E6" s="560"/>
    </row>
    <row r="8" spans="2:5" ht="54" customHeight="1">
      <c r="B8" s="18" t="s">
        <v>40</v>
      </c>
      <c r="C8" s="18" t="s">
        <v>41</v>
      </c>
      <c r="D8" s="75" t="s">
        <v>520</v>
      </c>
      <c r="E8" s="18" t="s">
        <v>547</v>
      </c>
    </row>
    <row r="9" spans="2:5" ht="20.25" customHeight="1">
      <c r="B9" s="27">
        <v>1</v>
      </c>
      <c r="C9" s="59" t="s">
        <v>785</v>
      </c>
      <c r="D9" s="328">
        <v>10959</v>
      </c>
      <c r="E9" s="417">
        <v>15000</v>
      </c>
    </row>
    <row r="10" spans="2:5" ht="15.75">
      <c r="B10" s="33"/>
      <c r="C10" s="33" t="s">
        <v>26</v>
      </c>
      <c r="D10" s="418">
        <f>SUM(D9)</f>
        <v>10959</v>
      </c>
      <c r="E10" s="418">
        <f>SUM(E9)</f>
        <v>15000</v>
      </c>
    </row>
    <row r="11" spans="2:4" ht="15.75">
      <c r="B11" s="413"/>
      <c r="C11" s="413"/>
      <c r="D11" s="191"/>
    </row>
    <row r="12" spans="2:4" ht="15.75">
      <c r="B12" s="413"/>
      <c r="C12" s="413"/>
      <c r="D12" s="191"/>
    </row>
    <row r="13" spans="2:5" ht="15">
      <c r="B13" s="613" t="s">
        <v>792</v>
      </c>
      <c r="C13" s="613"/>
      <c r="D13" s="613"/>
      <c r="E13" s="613"/>
    </row>
    <row r="14" spans="2:4" ht="15">
      <c r="B14" s="192"/>
      <c r="C14" s="192"/>
      <c r="D14" s="191"/>
    </row>
    <row r="15" spans="2:4" s="50" customFormat="1" ht="24.75" customHeight="1">
      <c r="B15" s="74" t="s">
        <v>137</v>
      </c>
      <c r="C15" s="74" t="s">
        <v>109</v>
      </c>
      <c r="D15" s="194" t="s">
        <v>202</v>
      </c>
    </row>
    <row r="16" spans="2:4" ht="40.5">
      <c r="B16" s="195">
        <v>43244</v>
      </c>
      <c r="C16" s="196" t="s">
        <v>786</v>
      </c>
      <c r="D16" s="419">
        <v>3528</v>
      </c>
    </row>
    <row r="17" spans="2:4" ht="27">
      <c r="B17" s="195">
        <v>43364</v>
      </c>
      <c r="C17" s="196" t="s">
        <v>787</v>
      </c>
      <c r="D17" s="419">
        <v>300</v>
      </c>
    </row>
    <row r="18" spans="2:4" ht="40.5">
      <c r="B18" s="195">
        <v>43364</v>
      </c>
      <c r="C18" s="196" t="s">
        <v>788</v>
      </c>
      <c r="D18" s="419">
        <v>2891</v>
      </c>
    </row>
    <row r="19" spans="2:4" ht="15">
      <c r="B19" s="195">
        <v>43365</v>
      </c>
      <c r="C19" s="196" t="s">
        <v>789</v>
      </c>
      <c r="D19" s="419">
        <v>346</v>
      </c>
    </row>
    <row r="20" spans="2:4" ht="15">
      <c r="B20" s="195">
        <v>43524</v>
      </c>
      <c r="C20" s="196" t="s">
        <v>790</v>
      </c>
      <c r="D20" s="419">
        <v>590</v>
      </c>
    </row>
    <row r="21" spans="2:4" ht="40.5">
      <c r="B21" s="195">
        <v>43524</v>
      </c>
      <c r="C21" s="196" t="s">
        <v>791</v>
      </c>
      <c r="D21" s="419">
        <v>3304</v>
      </c>
    </row>
    <row r="22" spans="2:4" ht="15.75">
      <c r="B22" s="58"/>
      <c r="C22" s="102" t="s">
        <v>372</v>
      </c>
      <c r="D22" s="420">
        <f>SUM(D16:D21)</f>
        <v>10959</v>
      </c>
    </row>
  </sheetData>
  <sheetProtection/>
  <mergeCells count="4">
    <mergeCell ref="B4:E4"/>
    <mergeCell ref="B6:E6"/>
    <mergeCell ref="B2:E2"/>
    <mergeCell ref="B13:E13"/>
  </mergeCells>
  <printOptions/>
  <pageMargins left="0.7" right="0.7" top="0.75" bottom="0.75" header="0.3" footer="0.3"/>
  <pageSetup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4:E15"/>
  <sheetViews>
    <sheetView zoomScalePageLayoutView="0" workbookViewId="0" topLeftCell="A1">
      <selection activeCell="D8" sqref="D8:E8"/>
    </sheetView>
  </sheetViews>
  <sheetFormatPr defaultColWidth="9.140625" defaultRowHeight="12.75"/>
  <cols>
    <col min="1" max="1" width="5.421875" style="1" customWidth="1"/>
    <col min="2" max="2" width="8.421875" style="1" customWidth="1"/>
    <col min="3" max="3" width="31.57421875" style="1" customWidth="1"/>
    <col min="4" max="4" width="23.140625" style="1" customWidth="1"/>
    <col min="5" max="5" width="22.57421875" style="1" customWidth="1"/>
    <col min="6" max="16384" width="9.140625" style="1" customWidth="1"/>
  </cols>
  <sheetData>
    <row r="4" spans="2:5" ht="16.5">
      <c r="B4" s="561" t="s">
        <v>416</v>
      </c>
      <c r="C4" s="561"/>
      <c r="D4" s="561"/>
      <c r="E4" s="561"/>
    </row>
    <row r="5" spans="2:5" ht="16.5">
      <c r="B5" s="53"/>
      <c r="C5" s="53"/>
      <c r="D5" s="53"/>
      <c r="E5" s="53"/>
    </row>
    <row r="6" spans="2:5" ht="16.5">
      <c r="B6" s="560" t="s">
        <v>146</v>
      </c>
      <c r="C6" s="560"/>
      <c r="D6" s="560"/>
      <c r="E6" s="560"/>
    </row>
    <row r="8" spans="2:5" ht="38.25">
      <c r="B8" s="18" t="s">
        <v>40</v>
      </c>
      <c r="C8" s="18" t="s">
        <v>41</v>
      </c>
      <c r="D8" s="75" t="s">
        <v>520</v>
      </c>
      <c r="E8" s="18" t="s">
        <v>547</v>
      </c>
    </row>
    <row r="9" spans="2:5" s="4" customFormat="1" ht="15">
      <c r="B9" s="27">
        <v>1</v>
      </c>
      <c r="C9" s="59" t="s">
        <v>297</v>
      </c>
      <c r="D9" s="64">
        <v>150000</v>
      </c>
      <c r="E9" s="83">
        <v>100000</v>
      </c>
    </row>
    <row r="10" spans="2:5" s="4" customFormat="1" ht="15">
      <c r="B10" s="27">
        <v>2</v>
      </c>
      <c r="C10" s="77" t="s">
        <v>793</v>
      </c>
      <c r="D10" s="64">
        <v>59000</v>
      </c>
      <c r="E10" s="83">
        <v>59000</v>
      </c>
    </row>
    <row r="11" spans="2:5" s="4" customFormat="1" ht="30">
      <c r="B11" s="27">
        <v>3</v>
      </c>
      <c r="C11" s="59" t="s">
        <v>794</v>
      </c>
      <c r="D11" s="64">
        <v>37500</v>
      </c>
      <c r="E11" s="83">
        <v>0</v>
      </c>
    </row>
    <row r="12" spans="2:5" s="4" customFormat="1" ht="15">
      <c r="B12" s="27">
        <v>4</v>
      </c>
      <c r="C12" s="77" t="s">
        <v>795</v>
      </c>
      <c r="D12" s="64">
        <v>0</v>
      </c>
      <c r="E12" s="83">
        <v>20000</v>
      </c>
    </row>
    <row r="13" spans="2:5" s="4" customFormat="1" ht="30">
      <c r="B13" s="27">
        <v>5</v>
      </c>
      <c r="C13" s="59" t="s">
        <v>796</v>
      </c>
      <c r="D13" s="64">
        <v>22580</v>
      </c>
      <c r="E13" s="83">
        <v>20000</v>
      </c>
    </row>
    <row r="14" spans="2:5" s="4" customFormat="1" ht="15">
      <c r="B14" s="27">
        <v>6</v>
      </c>
      <c r="C14" s="59" t="s">
        <v>797</v>
      </c>
      <c r="D14" s="64">
        <v>398250</v>
      </c>
      <c r="E14" s="83">
        <v>0</v>
      </c>
    </row>
    <row r="15" spans="2:5" s="4" customFormat="1" ht="15">
      <c r="B15" s="32"/>
      <c r="C15" s="32" t="s">
        <v>26</v>
      </c>
      <c r="D15" s="84">
        <f>SUM(D9:D14)</f>
        <v>667330</v>
      </c>
      <c r="E15" s="84">
        <f>SUM(E9:E14)</f>
        <v>199000</v>
      </c>
    </row>
  </sheetData>
  <sheetProtection/>
  <mergeCells count="2">
    <mergeCell ref="B4:E4"/>
    <mergeCell ref="B6:E6"/>
  </mergeCells>
  <printOptions/>
  <pageMargins left="0.7" right="0.7" top="0.75" bottom="0.75" header="0.3" footer="0.3"/>
  <pageSetup horizontalDpi="600" verticalDpi="600" orientation="portrait" scale="98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7:E13"/>
  <sheetViews>
    <sheetView zoomScalePageLayoutView="0" workbookViewId="0" topLeftCell="A1">
      <selection activeCell="D11" sqref="D11:E11"/>
    </sheetView>
  </sheetViews>
  <sheetFormatPr defaultColWidth="9.140625" defaultRowHeight="12.75"/>
  <cols>
    <col min="1" max="1" width="7.8515625" style="1" customWidth="1"/>
    <col min="2" max="2" width="8.421875" style="1" customWidth="1"/>
    <col min="3" max="3" width="27.57421875" style="1" customWidth="1"/>
    <col min="4" max="4" width="23.140625" style="1" customWidth="1"/>
    <col min="5" max="5" width="22.57421875" style="1" customWidth="1"/>
    <col min="6" max="16384" width="9.140625" style="1" customWidth="1"/>
  </cols>
  <sheetData>
    <row r="7" spans="2:5" ht="16.5">
      <c r="B7" s="561" t="s">
        <v>417</v>
      </c>
      <c r="C7" s="561"/>
      <c r="D7" s="561"/>
      <c r="E7" s="561"/>
    </row>
    <row r="8" spans="2:5" ht="16.5">
      <c r="B8" s="53"/>
      <c r="C8" s="53"/>
      <c r="D8" s="53"/>
      <c r="E8" s="53"/>
    </row>
    <row r="9" spans="2:5" ht="16.5">
      <c r="B9" s="560" t="s">
        <v>19</v>
      </c>
      <c r="C9" s="560"/>
      <c r="D9" s="560"/>
      <c r="E9" s="560"/>
    </row>
    <row r="11" spans="2:5" ht="38.25">
      <c r="B11" s="18" t="s">
        <v>40</v>
      </c>
      <c r="C11" s="18" t="s">
        <v>41</v>
      </c>
      <c r="D11" s="75" t="s">
        <v>520</v>
      </c>
      <c r="E11" s="18" t="s">
        <v>547</v>
      </c>
    </row>
    <row r="12" spans="2:5" s="4" customFormat="1" ht="30">
      <c r="B12" s="27">
        <v>1</v>
      </c>
      <c r="C12" s="59" t="s">
        <v>19</v>
      </c>
      <c r="D12" s="64">
        <v>576</v>
      </c>
      <c r="E12" s="83">
        <v>5000</v>
      </c>
    </row>
    <row r="13" spans="2:5" s="4" customFormat="1" ht="15">
      <c r="B13" s="32"/>
      <c r="C13" s="32" t="s">
        <v>26</v>
      </c>
      <c r="D13" s="84">
        <f>SUM(D12:D12)</f>
        <v>576</v>
      </c>
      <c r="E13" s="84">
        <f>SUM(E12:E12)</f>
        <v>5000</v>
      </c>
    </row>
  </sheetData>
  <sheetProtection/>
  <mergeCells count="2">
    <mergeCell ref="B7:E7"/>
    <mergeCell ref="B9:E9"/>
  </mergeCells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7:E13"/>
  <sheetViews>
    <sheetView zoomScalePageLayoutView="0" workbookViewId="0" topLeftCell="A4">
      <selection activeCell="D11" sqref="D11:E11"/>
    </sheetView>
  </sheetViews>
  <sheetFormatPr defaultColWidth="9.140625" defaultRowHeight="12.75"/>
  <cols>
    <col min="1" max="1" width="7.8515625" style="1" customWidth="1"/>
    <col min="2" max="2" width="8.421875" style="1" customWidth="1"/>
    <col min="3" max="3" width="27.57421875" style="1" customWidth="1"/>
    <col min="4" max="4" width="23.140625" style="1" customWidth="1"/>
    <col min="5" max="5" width="22.57421875" style="1" customWidth="1"/>
    <col min="6" max="16384" width="9.140625" style="1" customWidth="1"/>
  </cols>
  <sheetData>
    <row r="7" spans="2:5" ht="16.5">
      <c r="B7" s="561" t="s">
        <v>418</v>
      </c>
      <c r="C7" s="561"/>
      <c r="D7" s="561"/>
      <c r="E7" s="561"/>
    </row>
    <row r="8" spans="2:5" ht="16.5">
      <c r="B8" s="53"/>
      <c r="C8" s="53"/>
      <c r="D8" s="53"/>
      <c r="E8" s="53"/>
    </row>
    <row r="9" spans="2:5" ht="16.5">
      <c r="B9" s="560" t="s">
        <v>798</v>
      </c>
      <c r="C9" s="560"/>
      <c r="D9" s="560"/>
      <c r="E9" s="560"/>
    </row>
    <row r="11" spans="2:5" ht="38.25">
      <c r="B11" s="18" t="s">
        <v>40</v>
      </c>
      <c r="C11" s="18" t="s">
        <v>41</v>
      </c>
      <c r="D11" s="75" t="s">
        <v>520</v>
      </c>
      <c r="E11" s="18" t="s">
        <v>547</v>
      </c>
    </row>
    <row r="12" spans="2:5" s="4" customFormat="1" ht="31.5" customHeight="1">
      <c r="B12" s="27">
        <v>1</v>
      </c>
      <c r="C12" s="59" t="s">
        <v>429</v>
      </c>
      <c r="D12" s="416">
        <v>0</v>
      </c>
      <c r="E12" s="421">
        <v>25000</v>
      </c>
    </row>
    <row r="13" spans="2:5" s="4" customFormat="1" ht="19.5" customHeight="1">
      <c r="B13" s="32"/>
      <c r="C13" s="32" t="s">
        <v>26</v>
      </c>
      <c r="D13" s="422">
        <f>SUM(D12:D12)</f>
        <v>0</v>
      </c>
      <c r="E13" s="422">
        <f>SUM(E12:E12)</f>
        <v>25000</v>
      </c>
    </row>
  </sheetData>
  <sheetProtection/>
  <mergeCells count="2">
    <mergeCell ref="B7:E7"/>
    <mergeCell ref="B9:E9"/>
  </mergeCells>
  <printOptions/>
  <pageMargins left="0.7" right="0.7" top="0.75" bottom="0.75" header="0.3" footer="0.3"/>
  <pageSetup horizontalDpi="600" verticalDpi="60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4">
      <selection activeCell="D6" sqref="D6:E6"/>
    </sheetView>
  </sheetViews>
  <sheetFormatPr defaultColWidth="9.140625" defaultRowHeight="12.75"/>
  <cols>
    <col min="1" max="1" width="3.7109375" style="1" customWidth="1"/>
    <col min="2" max="2" width="9.8515625" style="1" customWidth="1"/>
    <col min="3" max="3" width="41.28125" style="1" customWidth="1"/>
    <col min="4" max="4" width="18.7109375" style="1" customWidth="1"/>
    <col min="5" max="5" width="19.140625" style="1" customWidth="1"/>
    <col min="6" max="6" width="20.8515625" style="1" customWidth="1"/>
    <col min="7" max="7" width="22.57421875" style="1" customWidth="1"/>
    <col min="8" max="16384" width="9.140625" style="1" customWidth="1"/>
  </cols>
  <sheetData>
    <row r="2" spans="2:4" ht="16.5">
      <c r="B2" s="561" t="s">
        <v>430</v>
      </c>
      <c r="C2" s="561"/>
      <c r="D2" s="561"/>
    </row>
    <row r="3" spans="2:7" ht="16.5">
      <c r="B3" s="53"/>
      <c r="E3" s="87"/>
      <c r="F3" s="87"/>
      <c r="G3" s="87"/>
    </row>
    <row r="4" spans="2:7" ht="16.5">
      <c r="B4" s="560" t="s">
        <v>200</v>
      </c>
      <c r="C4" s="560"/>
      <c r="D4" s="560"/>
      <c r="E4" s="53"/>
      <c r="F4" s="53"/>
      <c r="G4" s="53"/>
    </row>
    <row r="5" spans="2:7" ht="16.5">
      <c r="B5" s="52"/>
      <c r="C5" s="52"/>
      <c r="D5" s="52"/>
      <c r="E5" s="53"/>
      <c r="F5" s="53"/>
      <c r="G5" s="53"/>
    </row>
    <row r="6" spans="2:7" ht="51">
      <c r="B6" s="18" t="s">
        <v>40</v>
      </c>
      <c r="C6" s="18" t="s">
        <v>41</v>
      </c>
      <c r="D6" s="75" t="s">
        <v>520</v>
      </c>
      <c r="E6" s="18" t="s">
        <v>547</v>
      </c>
      <c r="F6" s="53"/>
      <c r="G6" s="53"/>
    </row>
    <row r="7" spans="2:7" ht="19.5" customHeight="1">
      <c r="B7" s="27">
        <v>1</v>
      </c>
      <c r="C7" s="59" t="s">
        <v>799</v>
      </c>
      <c r="D7" s="328">
        <v>39220</v>
      </c>
      <c r="E7" s="328">
        <v>170000</v>
      </c>
      <c r="F7" s="53"/>
      <c r="G7" s="53"/>
    </row>
    <row r="8" spans="2:7" ht="19.5" customHeight="1">
      <c r="B8" s="33"/>
      <c r="C8" s="33" t="s">
        <v>26</v>
      </c>
      <c r="D8" s="418">
        <f>SUM(D7:D7)</f>
        <v>39220</v>
      </c>
      <c r="E8" s="418">
        <f>SUM(E7:E7)</f>
        <v>170000</v>
      </c>
      <c r="F8" s="53"/>
      <c r="G8" s="53"/>
    </row>
    <row r="9" spans="2:7" ht="16.5">
      <c r="B9" s="52"/>
      <c r="C9" s="52"/>
      <c r="D9" s="424"/>
      <c r="E9" s="425"/>
      <c r="F9" s="53"/>
      <c r="G9" s="53"/>
    </row>
    <row r="10" spans="2:7" ht="16.5">
      <c r="B10" s="49" t="s">
        <v>807</v>
      </c>
      <c r="D10" s="263"/>
      <c r="E10" s="426"/>
      <c r="F10" s="87"/>
      <c r="G10" s="87"/>
    </row>
    <row r="11" spans="4:5" ht="15">
      <c r="D11" s="263"/>
      <c r="E11" s="263"/>
    </row>
    <row r="12" spans="2:5" s="4" customFormat="1" ht="19.5" customHeight="1">
      <c r="B12" s="16" t="s">
        <v>126</v>
      </c>
      <c r="C12" s="16" t="s">
        <v>138</v>
      </c>
      <c r="D12" s="339" t="s">
        <v>203</v>
      </c>
      <c r="E12" s="339" t="s">
        <v>800</v>
      </c>
    </row>
    <row r="13" spans="2:5" s="4" customFormat="1" ht="90">
      <c r="B13" s="2">
        <v>1</v>
      </c>
      <c r="C13" s="253" t="s">
        <v>803</v>
      </c>
      <c r="D13" s="314">
        <v>35000</v>
      </c>
      <c r="E13" s="427"/>
    </row>
    <row r="14" spans="2:5" s="4" customFormat="1" ht="66.75" customHeight="1">
      <c r="B14" s="2">
        <v>2</v>
      </c>
      <c r="C14" s="254" t="s">
        <v>804</v>
      </c>
      <c r="D14" s="314">
        <v>20000</v>
      </c>
      <c r="E14" s="427"/>
    </row>
    <row r="15" spans="2:5" s="4" customFormat="1" ht="60">
      <c r="B15" s="2">
        <v>3</v>
      </c>
      <c r="C15" s="253" t="s">
        <v>805</v>
      </c>
      <c r="D15" s="314">
        <v>20000</v>
      </c>
      <c r="E15" s="427"/>
    </row>
    <row r="16" spans="2:5" s="4" customFormat="1" ht="30">
      <c r="B16" s="2">
        <v>4</v>
      </c>
      <c r="C16" s="423" t="s">
        <v>801</v>
      </c>
      <c r="D16" s="314">
        <v>25000</v>
      </c>
      <c r="E16" s="427"/>
    </row>
    <row r="17" spans="2:5" s="4" customFormat="1" ht="51.75" customHeight="1">
      <c r="B17" s="2">
        <v>5</v>
      </c>
      <c r="C17" s="254" t="s">
        <v>806</v>
      </c>
      <c r="D17" s="314">
        <v>50000</v>
      </c>
      <c r="E17" s="427"/>
    </row>
    <row r="18" spans="2:5" s="4" customFormat="1" ht="60">
      <c r="B18" s="2">
        <v>6</v>
      </c>
      <c r="C18" s="423" t="s">
        <v>802</v>
      </c>
      <c r="D18" s="314">
        <v>20000</v>
      </c>
      <c r="E18" s="427"/>
    </row>
    <row r="19" spans="2:5" s="4" customFormat="1" ht="19.5" customHeight="1">
      <c r="B19" s="3"/>
      <c r="C19" s="86" t="s">
        <v>202</v>
      </c>
      <c r="D19" s="364">
        <f>SUM(D13:D18)</f>
        <v>170000</v>
      </c>
      <c r="E19" s="314"/>
    </row>
  </sheetData>
  <sheetProtection/>
  <mergeCells count="2">
    <mergeCell ref="B2:D2"/>
    <mergeCell ref="B4:D4"/>
  </mergeCells>
  <printOptions/>
  <pageMargins left="0.7" right="0.7" top="0.75" bottom="0.75" header="0.3" footer="0.3"/>
  <pageSetup horizontalDpi="600" verticalDpi="600" orientation="portrait" scale="97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2:G14"/>
  <sheetViews>
    <sheetView zoomScalePageLayoutView="0" workbookViewId="0" topLeftCell="A1">
      <selection activeCell="E19" sqref="E19:F19"/>
    </sheetView>
  </sheetViews>
  <sheetFormatPr defaultColWidth="9.140625" defaultRowHeight="12.75"/>
  <cols>
    <col min="1" max="1" width="9.28125" style="1" customWidth="1"/>
    <col min="2" max="2" width="8.28125" style="1" customWidth="1"/>
    <col min="3" max="3" width="37.8515625" style="1" customWidth="1"/>
    <col min="4" max="4" width="20.57421875" style="1" customWidth="1"/>
    <col min="5" max="5" width="19.140625" style="1" customWidth="1"/>
    <col min="6" max="6" width="20.8515625" style="1" customWidth="1"/>
    <col min="7" max="7" width="22.57421875" style="1" customWidth="1"/>
    <col min="8" max="16384" width="9.140625" style="1" customWidth="1"/>
  </cols>
  <sheetData>
    <row r="2" spans="2:4" ht="16.5">
      <c r="B2" s="561" t="s">
        <v>432</v>
      </c>
      <c r="C2" s="561"/>
      <c r="D2" s="561"/>
    </row>
    <row r="3" spans="2:7" ht="16.5">
      <c r="B3" s="53"/>
      <c r="E3" s="87"/>
      <c r="F3" s="87"/>
      <c r="G3" s="87"/>
    </row>
    <row r="4" spans="2:7" ht="16.5">
      <c r="B4" s="560" t="s">
        <v>808</v>
      </c>
      <c r="C4" s="560"/>
      <c r="D4" s="560"/>
      <c r="E4" s="53"/>
      <c r="F4" s="53"/>
      <c r="G4" s="53"/>
    </row>
    <row r="5" spans="2:7" ht="16.5">
      <c r="B5" s="52"/>
      <c r="C5" s="52"/>
      <c r="D5" s="52"/>
      <c r="E5" s="53"/>
      <c r="F5" s="53"/>
      <c r="G5" s="53"/>
    </row>
    <row r="6" spans="2:7" ht="38.25">
      <c r="B6" s="18" t="s">
        <v>40</v>
      </c>
      <c r="C6" s="18" t="s">
        <v>41</v>
      </c>
      <c r="D6" s="75" t="s">
        <v>520</v>
      </c>
      <c r="E6" s="227"/>
      <c r="F6" s="53"/>
      <c r="G6" s="53"/>
    </row>
    <row r="7" spans="2:7" ht="30">
      <c r="B7" s="27">
        <v>1</v>
      </c>
      <c r="C7" s="59" t="s">
        <v>809</v>
      </c>
      <c r="D7" s="328">
        <v>14958</v>
      </c>
      <c r="E7" s="428"/>
      <c r="F7" s="53"/>
      <c r="G7" s="53"/>
    </row>
    <row r="8" spans="2:7" ht="24.75" customHeight="1">
      <c r="B8" s="27">
        <v>2</v>
      </c>
      <c r="C8" s="59" t="s">
        <v>810</v>
      </c>
      <c r="D8" s="328">
        <v>125105</v>
      </c>
      <c r="E8" s="428"/>
      <c r="F8" s="53"/>
      <c r="G8" s="53"/>
    </row>
    <row r="9" spans="2:7" ht="16.5">
      <c r="B9" s="27">
        <v>3</v>
      </c>
      <c r="C9" s="59" t="s">
        <v>811</v>
      </c>
      <c r="D9" s="328">
        <v>2160</v>
      </c>
      <c r="E9" s="428"/>
      <c r="F9" s="53"/>
      <c r="G9" s="53"/>
    </row>
    <row r="10" spans="2:7" ht="16.5">
      <c r="B10" s="27">
        <v>4</v>
      </c>
      <c r="C10" s="59" t="s">
        <v>812</v>
      </c>
      <c r="D10" s="328">
        <v>135889</v>
      </c>
      <c r="E10" s="428"/>
      <c r="F10" s="53"/>
      <c r="G10" s="53"/>
    </row>
    <row r="11" spans="2:7" ht="16.5">
      <c r="B11" s="27">
        <v>5</v>
      </c>
      <c r="C11" s="59" t="s">
        <v>813</v>
      </c>
      <c r="D11" s="328">
        <v>18000</v>
      </c>
      <c r="E11" s="428"/>
      <c r="F11" s="53"/>
      <c r="G11" s="53"/>
    </row>
    <row r="12" spans="2:7" ht="16.5">
      <c r="B12" s="27">
        <v>6</v>
      </c>
      <c r="C12" s="59" t="s">
        <v>814</v>
      </c>
      <c r="D12" s="328">
        <v>10000</v>
      </c>
      <c r="E12" s="428"/>
      <c r="F12" s="53"/>
      <c r="G12" s="53"/>
    </row>
    <row r="13" spans="2:7" ht="16.5">
      <c r="B13" s="33"/>
      <c r="C13" s="33" t="s">
        <v>26</v>
      </c>
      <c r="D13" s="418">
        <f>SUM(D7:D12)</f>
        <v>306112</v>
      </c>
      <c r="E13" s="429"/>
      <c r="F13" s="53"/>
      <c r="G13" s="53"/>
    </row>
    <row r="14" spans="2:7" ht="16.5">
      <c r="B14" s="52"/>
      <c r="C14" s="52"/>
      <c r="D14" s="52"/>
      <c r="E14" s="53"/>
      <c r="F14" s="53"/>
      <c r="G14" s="53"/>
    </row>
  </sheetData>
  <sheetProtection/>
  <mergeCells count="2">
    <mergeCell ref="B2:D2"/>
    <mergeCell ref="B4:D4"/>
  </mergeCells>
  <printOptions/>
  <pageMargins left="0.7" right="0.7" top="0.75" bottom="0.75" header="0.3" footer="0.3"/>
  <pageSetup horizontalDpi="600" verticalDpi="60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G9"/>
  <sheetViews>
    <sheetView zoomScalePageLayoutView="0" workbookViewId="0" topLeftCell="A1">
      <selection activeCell="D6" sqref="D6:E6"/>
    </sheetView>
  </sheetViews>
  <sheetFormatPr defaultColWidth="9.140625" defaultRowHeight="12.75"/>
  <cols>
    <col min="1" max="1" width="5.57421875" style="1" customWidth="1"/>
    <col min="2" max="2" width="8.00390625" style="1" customWidth="1"/>
    <col min="3" max="3" width="39.421875" style="1" customWidth="1"/>
    <col min="4" max="5" width="17.140625" style="1" customWidth="1"/>
    <col min="6" max="6" width="20.8515625" style="1" customWidth="1"/>
    <col min="7" max="7" width="22.57421875" style="1" customWidth="1"/>
    <col min="8" max="16384" width="9.140625" style="1" customWidth="1"/>
  </cols>
  <sheetData>
    <row r="2" spans="2:4" ht="16.5">
      <c r="B2" s="561" t="s">
        <v>815</v>
      </c>
      <c r="C2" s="561"/>
      <c r="D2" s="561"/>
    </row>
    <row r="3" spans="2:7" ht="16.5">
      <c r="B3" s="53"/>
      <c r="E3" s="87"/>
      <c r="F3" s="87"/>
      <c r="G3" s="87"/>
    </row>
    <row r="4" spans="2:7" ht="16.5">
      <c r="B4" s="560" t="s">
        <v>431</v>
      </c>
      <c r="C4" s="560"/>
      <c r="D4" s="560"/>
      <c r="E4" s="53"/>
      <c r="F4" s="53"/>
      <c r="G4" s="53"/>
    </row>
    <row r="5" spans="2:7" ht="16.5">
      <c r="B5" s="52"/>
      <c r="C5" s="52"/>
      <c r="D5" s="52"/>
      <c r="E5" s="53"/>
      <c r="F5" s="53"/>
      <c r="G5" s="53"/>
    </row>
    <row r="6" spans="2:7" ht="63.75">
      <c r="B6" s="18" t="s">
        <v>40</v>
      </c>
      <c r="C6" s="18" t="s">
        <v>41</v>
      </c>
      <c r="D6" s="75" t="s">
        <v>520</v>
      </c>
      <c r="E6" s="18" t="s">
        <v>547</v>
      </c>
      <c r="F6" s="53"/>
      <c r="G6" s="53"/>
    </row>
    <row r="7" spans="2:7" ht="30.75" customHeight="1">
      <c r="B7" s="27">
        <v>1</v>
      </c>
      <c r="C7" s="59" t="s">
        <v>816</v>
      </c>
      <c r="D7" s="64">
        <v>2000</v>
      </c>
      <c r="E7" s="83">
        <v>5000</v>
      </c>
      <c r="F7" s="53"/>
      <c r="G7" s="53"/>
    </row>
    <row r="8" spans="2:7" ht="19.5" customHeight="1">
      <c r="B8" s="33"/>
      <c r="C8" s="33" t="s">
        <v>26</v>
      </c>
      <c r="D8" s="61">
        <f>SUM(D7:D7)</f>
        <v>2000</v>
      </c>
      <c r="E8" s="84">
        <f>SUM(E7:E7)</f>
        <v>5000</v>
      </c>
      <c r="F8" s="53"/>
      <c r="G8" s="53"/>
    </row>
    <row r="9" spans="2:7" ht="16.5">
      <c r="B9" s="52"/>
      <c r="C9" s="52"/>
      <c r="D9" s="52"/>
      <c r="E9" s="53"/>
      <c r="F9" s="53"/>
      <c r="G9" s="53"/>
    </row>
  </sheetData>
  <sheetProtection/>
  <mergeCells count="2">
    <mergeCell ref="B2:D2"/>
    <mergeCell ref="B4:D4"/>
  </mergeCells>
  <printOptions/>
  <pageMargins left="0.7" right="0.7" top="0.75" bottom="0.75" header="0.3" footer="0.3"/>
  <pageSetup horizontalDpi="600" verticalDpi="600" orientation="portrait" scale="9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3:G10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9.140625" style="1" customWidth="1"/>
    <col min="2" max="2" width="8.28125" style="1" customWidth="1"/>
    <col min="3" max="3" width="30.8515625" style="1" customWidth="1"/>
    <col min="4" max="4" width="19.421875" style="1" customWidth="1"/>
    <col min="5" max="5" width="19.140625" style="1" customWidth="1"/>
    <col min="6" max="16384" width="9.140625" style="1" customWidth="1"/>
  </cols>
  <sheetData>
    <row r="3" spans="2:5" ht="16.5">
      <c r="B3" s="561" t="s">
        <v>820</v>
      </c>
      <c r="C3" s="561"/>
      <c r="D3" s="561"/>
      <c r="E3" s="561"/>
    </row>
    <row r="4" spans="2:4" ht="16.5">
      <c r="B4" s="53"/>
      <c r="C4" s="53"/>
      <c r="D4" s="53"/>
    </row>
    <row r="5" spans="2:5" ht="16.5">
      <c r="B5" s="560" t="s">
        <v>379</v>
      </c>
      <c r="C5" s="560"/>
      <c r="D5" s="560"/>
      <c r="E5" s="560"/>
    </row>
    <row r="7" spans="2:5" ht="53.25" customHeight="1">
      <c r="B7" s="18" t="s">
        <v>40</v>
      </c>
      <c r="C7" s="18" t="s">
        <v>41</v>
      </c>
      <c r="D7" s="75" t="s">
        <v>520</v>
      </c>
      <c r="E7" s="18" t="s">
        <v>547</v>
      </c>
    </row>
    <row r="8" spans="2:7" ht="41.25" customHeight="1">
      <c r="B8" s="81">
        <v>1</v>
      </c>
      <c r="C8" s="59" t="s">
        <v>817</v>
      </c>
      <c r="D8" s="430">
        <f>30138+80377</f>
        <v>110515</v>
      </c>
      <c r="E8" s="300">
        <v>90000</v>
      </c>
      <c r="G8" s="263"/>
    </row>
    <row r="9" spans="2:5" ht="41.25" customHeight="1">
      <c r="B9" s="81">
        <v>2</v>
      </c>
      <c r="C9" s="59" t="s">
        <v>818</v>
      </c>
      <c r="D9" s="430">
        <v>29002</v>
      </c>
      <c r="E9" s="300">
        <v>90000</v>
      </c>
    </row>
    <row r="10" spans="2:5" ht="19.5" customHeight="1">
      <c r="B10" s="33"/>
      <c r="C10" s="33" t="s">
        <v>26</v>
      </c>
      <c r="D10" s="401">
        <f>SUM(D8:D9)</f>
        <v>139517</v>
      </c>
      <c r="E10" s="402">
        <f>E8+E9</f>
        <v>180000</v>
      </c>
    </row>
  </sheetData>
  <sheetProtection/>
  <mergeCells count="2">
    <mergeCell ref="B3:E3"/>
    <mergeCell ref="B5:E5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42"/>
  <sheetViews>
    <sheetView zoomScalePageLayoutView="0" workbookViewId="0" topLeftCell="A28">
      <selection activeCell="E43" sqref="E43"/>
    </sheetView>
  </sheetViews>
  <sheetFormatPr defaultColWidth="9.140625" defaultRowHeight="12.75"/>
  <cols>
    <col min="1" max="1" width="4.140625" style="26" customWidth="1"/>
    <col min="2" max="2" width="29.00390625" style="26" customWidth="1"/>
    <col min="3" max="3" width="11.7109375" style="26" customWidth="1"/>
    <col min="4" max="4" width="9.28125" style="152" bestFit="1" customWidth="1"/>
    <col min="5" max="5" width="8.7109375" style="152" bestFit="1" customWidth="1"/>
    <col min="6" max="6" width="12.00390625" style="152" bestFit="1" customWidth="1"/>
    <col min="7" max="7" width="11.28125" style="152" customWidth="1"/>
    <col min="8" max="8" width="12.00390625" style="152" bestFit="1" customWidth="1"/>
    <col min="9" max="16384" width="9.140625" style="26" customWidth="1"/>
  </cols>
  <sheetData>
    <row r="2" spans="2:8" ht="15">
      <c r="B2" s="557" t="s">
        <v>353</v>
      </c>
      <c r="C2" s="557"/>
      <c r="D2" s="557"/>
      <c r="E2" s="557"/>
      <c r="F2" s="557"/>
      <c r="G2" s="557"/>
      <c r="H2" s="557"/>
    </row>
    <row r="3" spans="2:8" ht="15">
      <c r="B3" s="116"/>
      <c r="C3" s="116"/>
      <c r="D3" s="116"/>
      <c r="E3" s="116"/>
      <c r="F3" s="116"/>
      <c r="G3" s="116"/>
      <c r="H3" s="116"/>
    </row>
    <row r="4" spans="2:8" s="21" customFormat="1" ht="15.75">
      <c r="B4" s="558" t="s">
        <v>403</v>
      </c>
      <c r="C4" s="558"/>
      <c r="D4" s="558"/>
      <c r="E4" s="558"/>
      <c r="F4" s="558"/>
      <c r="G4" s="558"/>
      <c r="H4" s="558"/>
    </row>
    <row r="5" spans="2:8" s="21" customFormat="1" ht="16.5">
      <c r="B5" s="14"/>
      <c r="C5" s="14"/>
      <c r="D5" s="14"/>
      <c r="E5" s="14"/>
      <c r="F5" s="14"/>
      <c r="G5" s="14"/>
      <c r="H5" s="14"/>
    </row>
    <row r="6" spans="2:8" s="21" customFormat="1" ht="15">
      <c r="B6" s="166" t="s">
        <v>446</v>
      </c>
      <c r="C6" s="24"/>
      <c r="D6" s="25"/>
      <c r="E6" s="25"/>
      <c r="F6" s="25"/>
      <c r="G6" s="25"/>
      <c r="H6" s="25"/>
    </row>
    <row r="7" spans="2:8" s="21" customFormat="1" ht="15">
      <c r="B7" s="34"/>
      <c r="C7" s="24"/>
      <c r="D7" s="25"/>
      <c r="E7" s="25"/>
      <c r="F7" s="25"/>
      <c r="G7" s="25"/>
      <c r="H7" s="25"/>
    </row>
    <row r="8" spans="2:8" s="21" customFormat="1" ht="27" customHeight="1">
      <c r="B8" s="550" t="s">
        <v>138</v>
      </c>
      <c r="C8" s="550" t="s">
        <v>110</v>
      </c>
      <c r="D8" s="556" t="s">
        <v>285</v>
      </c>
      <c r="E8" s="556"/>
      <c r="F8" s="550" t="s">
        <v>120</v>
      </c>
      <c r="G8" s="550"/>
      <c r="H8" s="550"/>
    </row>
    <row r="9" spans="2:8" s="21" customFormat="1" ht="39" customHeight="1">
      <c r="B9" s="550"/>
      <c r="C9" s="550"/>
      <c r="D9" s="18" t="s">
        <v>286</v>
      </c>
      <c r="E9" s="18" t="s">
        <v>287</v>
      </c>
      <c r="F9" s="18" t="s">
        <v>286</v>
      </c>
      <c r="G9" s="18" t="s">
        <v>287</v>
      </c>
      <c r="H9" s="18" t="s">
        <v>120</v>
      </c>
    </row>
    <row r="10" spans="2:8" s="21" customFormat="1" ht="19.5" customHeight="1">
      <c r="B10" s="31" t="s">
        <v>295</v>
      </c>
      <c r="C10" s="2">
        <v>41</v>
      </c>
      <c r="D10" s="2">
        <v>500</v>
      </c>
      <c r="E10" s="2">
        <v>50</v>
      </c>
      <c r="F10" s="154">
        <f>+C10*D10</f>
        <v>20500</v>
      </c>
      <c r="G10" s="154">
        <f>+C10*E10</f>
        <v>2050</v>
      </c>
      <c r="H10" s="154">
        <f>+F10+G10</f>
        <v>22550</v>
      </c>
    </row>
    <row r="11" spans="2:8" s="21" customFormat="1" ht="19.5" customHeight="1">
      <c r="B11" s="31" t="s">
        <v>296</v>
      </c>
      <c r="C11" s="2">
        <v>2</v>
      </c>
      <c r="D11" s="153">
        <v>1000</v>
      </c>
      <c r="E11" s="153">
        <v>50</v>
      </c>
      <c r="F11" s="154">
        <f>+C11*D11</f>
        <v>2000</v>
      </c>
      <c r="G11" s="154">
        <f>+C11*E11</f>
        <v>100</v>
      </c>
      <c r="H11" s="154">
        <f>+F11+G11</f>
        <v>2100</v>
      </c>
    </row>
    <row r="12" spans="2:11" s="21" customFormat="1" ht="19.5" customHeight="1">
      <c r="B12" s="31" t="s">
        <v>448</v>
      </c>
      <c r="C12" s="2">
        <v>1</v>
      </c>
      <c r="D12" s="2">
        <v>500</v>
      </c>
      <c r="E12" s="2">
        <v>50</v>
      </c>
      <c r="F12" s="154">
        <f>+C12*D12</f>
        <v>500</v>
      </c>
      <c r="G12" s="154">
        <f>+C12*E12</f>
        <v>50</v>
      </c>
      <c r="H12" s="154">
        <f>+F12+G12</f>
        <v>550</v>
      </c>
      <c r="I12" s="155"/>
      <c r="K12" s="114"/>
    </row>
    <row r="13" spans="2:8" s="21" customFormat="1" ht="19.5" customHeight="1">
      <c r="B13" s="31" t="s">
        <v>449</v>
      </c>
      <c r="C13" s="2">
        <v>7</v>
      </c>
      <c r="D13" s="153">
        <v>1000</v>
      </c>
      <c r="E13" s="153">
        <v>50</v>
      </c>
      <c r="F13" s="154">
        <f>+C13*D13</f>
        <v>7000</v>
      </c>
      <c r="G13" s="154">
        <f>+C13*E13</f>
        <v>350</v>
      </c>
      <c r="H13" s="154">
        <f>+F13+G13</f>
        <v>7350</v>
      </c>
    </row>
    <row r="14" spans="2:8" s="21" customFormat="1" ht="19.5" customHeight="1">
      <c r="B14" s="31" t="s">
        <v>450</v>
      </c>
      <c r="C14" s="2">
        <v>2</v>
      </c>
      <c r="D14" s="153">
        <v>500</v>
      </c>
      <c r="E14" s="153">
        <v>50</v>
      </c>
      <c r="F14" s="154">
        <f>+C14*D14</f>
        <v>1000</v>
      </c>
      <c r="G14" s="154">
        <f>+C14*E14</f>
        <v>100</v>
      </c>
      <c r="H14" s="154">
        <f>+F14+G14</f>
        <v>1100</v>
      </c>
    </row>
    <row r="15" spans="2:8" s="22" customFormat="1" ht="19.5" customHeight="1">
      <c r="B15" s="41" t="s">
        <v>26</v>
      </c>
      <c r="C15" s="16">
        <f>SUM(C10:C14)</f>
        <v>53</v>
      </c>
      <c r="D15" s="79"/>
      <c r="E15" s="79"/>
      <c r="F15" s="165">
        <f>SUM(F10:F14)</f>
        <v>31000</v>
      </c>
      <c r="G15" s="165">
        <f>SUM(G10:G14)</f>
        <v>2650</v>
      </c>
      <c r="H15" s="165">
        <f>SUM(H10:H14)</f>
        <v>33650</v>
      </c>
    </row>
    <row r="16" spans="2:8" s="22" customFormat="1" ht="19.5" customHeight="1">
      <c r="B16" s="28"/>
      <c r="C16" s="20"/>
      <c r="D16" s="20"/>
      <c r="E16" s="20"/>
      <c r="F16" s="29"/>
      <c r="G16" s="29"/>
      <c r="H16" s="29"/>
    </row>
    <row r="17" spans="2:8" s="22" customFormat="1" ht="19.5" customHeight="1">
      <c r="B17" s="156" t="s">
        <v>288</v>
      </c>
      <c r="C17" s="156"/>
      <c r="D17" s="38"/>
      <c r="E17" s="38"/>
      <c r="F17" s="157"/>
      <c r="G17" s="157"/>
      <c r="H17" s="158">
        <f>+F15</f>
        <v>31000</v>
      </c>
    </row>
    <row r="18" spans="2:8" s="22" customFormat="1" ht="19.5" customHeight="1">
      <c r="B18" s="156" t="s">
        <v>289</v>
      </c>
      <c r="C18" s="156"/>
      <c r="D18" s="38"/>
      <c r="E18" s="38"/>
      <c r="F18" s="157"/>
      <c r="G18" s="157"/>
      <c r="H18" s="158">
        <f>+H17*0.6</f>
        <v>18600</v>
      </c>
    </row>
    <row r="19" spans="2:8" s="22" customFormat="1" ht="19.5" customHeight="1">
      <c r="B19" s="156" t="s">
        <v>290</v>
      </c>
      <c r="C19" s="156"/>
      <c r="D19" s="38"/>
      <c r="E19" s="38"/>
      <c r="F19" s="157"/>
      <c r="G19" s="157"/>
      <c r="H19" s="159">
        <f>+G15</f>
        <v>2650</v>
      </c>
    </row>
    <row r="20" spans="2:8" s="22" customFormat="1" ht="19.5" customHeight="1">
      <c r="B20" s="160" t="s">
        <v>291</v>
      </c>
      <c r="C20" s="160"/>
      <c r="D20" s="161"/>
      <c r="E20" s="161"/>
      <c r="F20" s="157"/>
      <c r="G20" s="157"/>
      <c r="H20" s="157">
        <f>SUM(H18:H19)</f>
        <v>21250</v>
      </c>
    </row>
    <row r="21" spans="2:10" s="22" customFormat="1" ht="19.5" customHeight="1">
      <c r="B21" s="4" t="s">
        <v>292</v>
      </c>
      <c r="C21" s="160"/>
      <c r="D21" s="161"/>
      <c r="E21" s="161"/>
      <c r="F21" s="157"/>
      <c r="G21" s="157"/>
      <c r="H21" s="157">
        <f>+H15-H20</f>
        <v>12400</v>
      </c>
      <c r="J21" s="163"/>
    </row>
    <row r="22" spans="2:8" s="21" customFormat="1" ht="15">
      <c r="B22" s="160" t="s">
        <v>293</v>
      </c>
      <c r="C22" s="4"/>
      <c r="D22" s="7"/>
      <c r="E22" s="7"/>
      <c r="F22" s="7"/>
      <c r="G22" s="7"/>
      <c r="H22" s="162">
        <f>+H21*0.4</f>
        <v>4960</v>
      </c>
    </row>
    <row r="23" spans="2:8" s="21" customFormat="1" ht="15">
      <c r="B23" s="4" t="s">
        <v>294</v>
      </c>
      <c r="C23" s="4"/>
      <c r="D23" s="7"/>
      <c r="E23" s="7"/>
      <c r="F23" s="7"/>
      <c r="G23" s="7"/>
      <c r="H23" s="162">
        <f>+H21-H22</f>
        <v>7440</v>
      </c>
    </row>
    <row r="24" spans="2:8" ht="15.75">
      <c r="B24" s="21"/>
      <c r="C24" s="21"/>
      <c r="D24" s="164"/>
      <c r="E24" s="164"/>
      <c r="F24" s="164"/>
      <c r="G24" s="164"/>
      <c r="H24" s="164"/>
    </row>
    <row r="25" spans="2:8" ht="15.75">
      <c r="B25" s="21"/>
      <c r="C25" s="21"/>
      <c r="D25" s="164"/>
      <c r="E25" s="164"/>
      <c r="F25" s="164"/>
      <c r="G25" s="164"/>
      <c r="H25" s="164"/>
    </row>
    <row r="26" spans="2:8" s="21" customFormat="1" ht="15">
      <c r="B26" s="166" t="s">
        <v>447</v>
      </c>
      <c r="C26" s="24"/>
      <c r="D26" s="25"/>
      <c r="E26" s="25"/>
      <c r="F26" s="25"/>
      <c r="G26" s="25"/>
      <c r="H26" s="25"/>
    </row>
    <row r="27" spans="2:8" s="21" customFormat="1" ht="15">
      <c r="B27" s="34"/>
      <c r="C27" s="24"/>
      <c r="D27" s="25"/>
      <c r="E27" s="25"/>
      <c r="F27" s="25"/>
      <c r="G27" s="25"/>
      <c r="H27" s="25"/>
    </row>
    <row r="28" spans="2:8" s="21" customFormat="1" ht="27" customHeight="1">
      <c r="B28" s="550" t="s">
        <v>138</v>
      </c>
      <c r="C28" s="550" t="s">
        <v>110</v>
      </c>
      <c r="D28" s="556" t="s">
        <v>285</v>
      </c>
      <c r="E28" s="556"/>
      <c r="F28" s="550" t="s">
        <v>120</v>
      </c>
      <c r="G28" s="550"/>
      <c r="H28" s="550"/>
    </row>
    <row r="29" spans="2:8" s="21" customFormat="1" ht="39" customHeight="1">
      <c r="B29" s="550"/>
      <c r="C29" s="550"/>
      <c r="D29" s="18" t="s">
        <v>286</v>
      </c>
      <c r="E29" s="18" t="s">
        <v>287</v>
      </c>
      <c r="F29" s="18" t="s">
        <v>286</v>
      </c>
      <c r="G29" s="18" t="s">
        <v>287</v>
      </c>
      <c r="H29" s="18" t="s">
        <v>120</v>
      </c>
    </row>
    <row r="30" spans="2:8" s="21" customFormat="1" ht="19.5" customHeight="1">
      <c r="B30" s="31" t="s">
        <v>295</v>
      </c>
      <c r="C30" s="2">
        <v>48</v>
      </c>
      <c r="D30" s="2">
        <v>500</v>
      </c>
      <c r="E30" s="2">
        <v>50</v>
      </c>
      <c r="F30" s="154">
        <f>+C30*D30</f>
        <v>24000</v>
      </c>
      <c r="G30" s="154">
        <f>+C30*E30</f>
        <v>2400</v>
      </c>
      <c r="H30" s="154">
        <f>+F30+G30</f>
        <v>26400</v>
      </c>
    </row>
    <row r="31" spans="2:8" s="21" customFormat="1" ht="19.5" customHeight="1">
      <c r="B31" s="31" t="s">
        <v>296</v>
      </c>
      <c r="C31" s="2">
        <v>12</v>
      </c>
      <c r="D31" s="153">
        <v>1000</v>
      </c>
      <c r="E31" s="153">
        <v>50</v>
      </c>
      <c r="F31" s="154">
        <f>+C31*D31</f>
        <v>12000</v>
      </c>
      <c r="G31" s="154">
        <f>+C31*E31</f>
        <v>600</v>
      </c>
      <c r="H31" s="154">
        <f>+F31+G31</f>
        <v>12600</v>
      </c>
    </row>
    <row r="32" spans="2:8" s="22" customFormat="1" ht="19.5" customHeight="1">
      <c r="B32" s="41" t="s">
        <v>26</v>
      </c>
      <c r="C32" s="16">
        <f>SUM(C30:C31)</f>
        <v>60</v>
      </c>
      <c r="D32" s="79"/>
      <c r="E32" s="79"/>
      <c r="F32" s="165">
        <f>SUM(F30:F31)</f>
        <v>36000</v>
      </c>
      <c r="G32" s="165">
        <f>SUM(G30:G31)</f>
        <v>3000</v>
      </c>
      <c r="H32" s="165">
        <f>SUM(H30:H31)</f>
        <v>39000</v>
      </c>
    </row>
    <row r="33" spans="2:8" s="22" customFormat="1" ht="19.5" customHeight="1">
      <c r="B33" s="28"/>
      <c r="C33" s="20"/>
      <c r="D33" s="20"/>
      <c r="E33" s="20"/>
      <c r="F33" s="29"/>
      <c r="G33" s="29"/>
      <c r="H33" s="29"/>
    </row>
    <row r="34" spans="2:8" s="22" customFormat="1" ht="19.5" customHeight="1">
      <c r="B34" s="156" t="s">
        <v>288</v>
      </c>
      <c r="C34" s="156"/>
      <c r="D34" s="38"/>
      <c r="E34" s="38"/>
      <c r="F34" s="157"/>
      <c r="G34" s="157"/>
      <c r="H34" s="158">
        <f>+F32</f>
        <v>36000</v>
      </c>
    </row>
    <row r="35" spans="2:8" s="22" customFormat="1" ht="19.5" customHeight="1">
      <c r="B35" s="156" t="s">
        <v>289</v>
      </c>
      <c r="C35" s="156"/>
      <c r="D35" s="38"/>
      <c r="E35" s="38"/>
      <c r="F35" s="157"/>
      <c r="G35" s="157"/>
      <c r="H35" s="158">
        <f>+H34*0.6</f>
        <v>21600</v>
      </c>
    </row>
    <row r="36" spans="2:8" s="22" customFormat="1" ht="19.5" customHeight="1">
      <c r="B36" s="156" t="s">
        <v>290</v>
      </c>
      <c r="C36" s="156"/>
      <c r="D36" s="38"/>
      <c r="E36" s="38"/>
      <c r="F36" s="157"/>
      <c r="G36" s="157"/>
      <c r="H36" s="159">
        <f>+G32</f>
        <v>3000</v>
      </c>
    </row>
    <row r="37" spans="2:8" s="22" customFormat="1" ht="19.5" customHeight="1">
      <c r="B37" s="160" t="s">
        <v>291</v>
      </c>
      <c r="C37" s="160"/>
      <c r="D37" s="161"/>
      <c r="E37" s="161"/>
      <c r="F37" s="157"/>
      <c r="G37" s="157"/>
      <c r="H37" s="157">
        <f>SUM(H35:H36)</f>
        <v>24600</v>
      </c>
    </row>
    <row r="38" spans="2:10" s="22" customFormat="1" ht="19.5" customHeight="1">
      <c r="B38" s="4" t="s">
        <v>292</v>
      </c>
      <c r="C38" s="160"/>
      <c r="D38" s="161"/>
      <c r="E38" s="161"/>
      <c r="F38" s="157"/>
      <c r="G38" s="157"/>
      <c r="H38" s="157">
        <f>+H32-H37</f>
        <v>14400</v>
      </c>
      <c r="J38" s="163"/>
    </row>
    <row r="39" spans="2:8" s="21" customFormat="1" ht="15">
      <c r="B39" s="160" t="s">
        <v>293</v>
      </c>
      <c r="C39" s="4"/>
      <c r="D39" s="7"/>
      <c r="E39" s="7"/>
      <c r="F39" s="7"/>
      <c r="G39" s="7"/>
      <c r="H39" s="162">
        <f>+H38*0.4</f>
        <v>5760</v>
      </c>
    </row>
    <row r="40" spans="2:8" s="21" customFormat="1" ht="15">
      <c r="B40" s="4" t="s">
        <v>294</v>
      </c>
      <c r="C40" s="4"/>
      <c r="D40" s="7"/>
      <c r="E40" s="7"/>
      <c r="F40" s="7"/>
      <c r="G40" s="7"/>
      <c r="H40" s="162">
        <f>+H38-H39</f>
        <v>8640</v>
      </c>
    </row>
    <row r="42" ht="15">
      <c r="H42" s="255"/>
    </row>
  </sheetData>
  <sheetProtection/>
  <mergeCells count="10">
    <mergeCell ref="B28:B29"/>
    <mergeCell ref="C28:C29"/>
    <mergeCell ref="D28:E28"/>
    <mergeCell ref="F28:H28"/>
    <mergeCell ref="B2:H2"/>
    <mergeCell ref="B4:H4"/>
    <mergeCell ref="B8:B9"/>
    <mergeCell ref="C8:C9"/>
    <mergeCell ref="D8:E8"/>
    <mergeCell ref="F8:H8"/>
  </mergeCells>
  <printOptions/>
  <pageMargins left="0.7" right="0.7" top="0.75" bottom="0.75" header="0.3" footer="0.3"/>
  <pageSetup horizontalDpi="600" verticalDpi="600" orientation="portrait" scale="9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2:G9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9.140625" style="1" customWidth="1"/>
    <col min="2" max="2" width="8.7109375" style="1" customWidth="1"/>
    <col min="3" max="3" width="35.00390625" style="1" customWidth="1"/>
    <col min="4" max="4" width="19.140625" style="1" customWidth="1"/>
    <col min="5" max="5" width="19.8515625" style="1" customWidth="1"/>
    <col min="6" max="6" width="20.8515625" style="1" customWidth="1"/>
    <col min="7" max="7" width="22.57421875" style="1" customWidth="1"/>
    <col min="8" max="16384" width="9.140625" style="1" customWidth="1"/>
  </cols>
  <sheetData>
    <row r="2" spans="2:5" ht="16.5">
      <c r="B2" s="561" t="s">
        <v>821</v>
      </c>
      <c r="C2" s="561"/>
      <c r="D2" s="561"/>
      <c r="E2" s="561"/>
    </row>
    <row r="3" spans="2:7" ht="16.5">
      <c r="B3" s="53"/>
      <c r="E3" s="87"/>
      <c r="F3" s="87"/>
      <c r="G3" s="87"/>
    </row>
    <row r="4" spans="2:7" ht="16.5">
      <c r="B4" s="560" t="s">
        <v>229</v>
      </c>
      <c r="C4" s="560"/>
      <c r="D4" s="560"/>
      <c r="E4" s="560"/>
      <c r="F4" s="53"/>
      <c r="G4" s="53"/>
    </row>
    <row r="5" spans="2:7" ht="16.5">
      <c r="B5" s="52"/>
      <c r="C5" s="52"/>
      <c r="D5" s="52"/>
      <c r="E5" s="53"/>
      <c r="F5" s="53"/>
      <c r="G5" s="53"/>
    </row>
    <row r="6" spans="2:7" ht="38.25">
      <c r="B6" s="18" t="s">
        <v>40</v>
      </c>
      <c r="C6" s="18" t="s">
        <v>41</v>
      </c>
      <c r="D6" s="75" t="s">
        <v>520</v>
      </c>
      <c r="E6" s="18" t="s">
        <v>547</v>
      </c>
      <c r="F6" s="53"/>
      <c r="G6" s="53"/>
    </row>
    <row r="7" spans="2:7" ht="30">
      <c r="B7" s="27">
        <v>1</v>
      </c>
      <c r="C7" s="59" t="s">
        <v>819</v>
      </c>
      <c r="D7" s="328">
        <v>5414</v>
      </c>
      <c r="E7" s="328">
        <v>10000</v>
      </c>
      <c r="F7" s="53"/>
      <c r="G7" s="53"/>
    </row>
    <row r="8" spans="2:7" ht="16.5">
      <c r="B8" s="33"/>
      <c r="C8" s="33" t="s">
        <v>26</v>
      </c>
      <c r="D8" s="418">
        <f>SUM(D7:D7)</f>
        <v>5414</v>
      </c>
      <c r="E8" s="418">
        <f>SUM(E7:E7)</f>
        <v>10000</v>
      </c>
      <c r="F8" s="53"/>
      <c r="G8" s="53"/>
    </row>
    <row r="9" spans="2:7" ht="16.5">
      <c r="B9" s="52"/>
      <c r="C9" s="52"/>
      <c r="D9" s="52"/>
      <c r="E9" s="53"/>
      <c r="F9" s="53"/>
      <c r="G9" s="53"/>
    </row>
  </sheetData>
  <sheetProtection/>
  <mergeCells count="2">
    <mergeCell ref="B2:E2"/>
    <mergeCell ref="B4:E4"/>
  </mergeCells>
  <printOptions/>
  <pageMargins left="0.7" right="0.7" top="0.75" bottom="0.75" header="0.3" footer="0.3"/>
  <pageSetup horizontalDpi="600" verticalDpi="60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H24"/>
  <sheetViews>
    <sheetView zoomScalePageLayoutView="0" workbookViewId="0" topLeftCell="A10">
      <selection activeCell="G12" sqref="G12"/>
    </sheetView>
  </sheetViews>
  <sheetFormatPr defaultColWidth="9.140625" defaultRowHeight="12.75"/>
  <cols>
    <col min="1" max="2" width="7.00390625" style="1" customWidth="1"/>
    <col min="3" max="3" width="17.140625" style="1" customWidth="1"/>
    <col min="4" max="4" width="11.7109375" style="1" customWidth="1"/>
    <col min="5" max="5" width="12.7109375" style="1" customWidth="1"/>
    <col min="6" max="7" width="14.28125" style="1" customWidth="1"/>
    <col min="8" max="8" width="15.28125" style="1" customWidth="1"/>
    <col min="9" max="16384" width="9.140625" style="1" customWidth="1"/>
  </cols>
  <sheetData>
    <row r="3" spans="2:8" ht="16.5">
      <c r="B3" s="561" t="s">
        <v>354</v>
      </c>
      <c r="C3" s="561"/>
      <c r="D3" s="561"/>
      <c r="E3" s="561"/>
      <c r="F3" s="561"/>
      <c r="G3" s="561"/>
      <c r="H3" s="561"/>
    </row>
    <row r="4" spans="3:8" ht="16.5">
      <c r="C4" s="14"/>
      <c r="D4" s="14"/>
      <c r="E4" s="14"/>
      <c r="F4" s="14"/>
      <c r="G4" s="14"/>
      <c r="H4" s="14"/>
    </row>
    <row r="5" spans="2:8" ht="16.5">
      <c r="B5" s="560" t="s">
        <v>130</v>
      </c>
      <c r="C5" s="560"/>
      <c r="D5" s="560"/>
      <c r="E5" s="560"/>
      <c r="F5" s="560"/>
      <c r="G5" s="560"/>
      <c r="H5" s="560"/>
    </row>
    <row r="6" spans="3:8" ht="15.75">
      <c r="C6" s="116"/>
      <c r="D6" s="116"/>
      <c r="E6" s="116"/>
      <c r="F6" s="116"/>
      <c r="G6" s="116"/>
      <c r="H6" s="116"/>
    </row>
    <row r="7" spans="2:8" ht="15.75">
      <c r="B7" s="559" t="s">
        <v>451</v>
      </c>
      <c r="C7" s="559"/>
      <c r="D7" s="559"/>
      <c r="E7" s="559"/>
      <c r="F7" s="559"/>
      <c r="G7" s="559"/>
      <c r="H7" s="559"/>
    </row>
    <row r="9" spans="2:8" ht="51">
      <c r="B9" s="18" t="s">
        <v>126</v>
      </c>
      <c r="C9" s="18" t="s">
        <v>109</v>
      </c>
      <c r="D9" s="18" t="s">
        <v>110</v>
      </c>
      <c r="E9" s="18" t="s">
        <v>327</v>
      </c>
      <c r="F9" s="18" t="s">
        <v>328</v>
      </c>
      <c r="G9" s="18" t="s">
        <v>329</v>
      </c>
      <c r="H9" s="18" t="s">
        <v>407</v>
      </c>
    </row>
    <row r="10" spans="2:8" s="7" customFormat="1" ht="19.5" customHeight="1">
      <c r="B10" s="2">
        <v>1</v>
      </c>
      <c r="C10" s="12" t="s">
        <v>127</v>
      </c>
      <c r="D10" s="6">
        <v>43</v>
      </c>
      <c r="E10" s="300">
        <f>1860+1860</f>
        <v>3720</v>
      </c>
      <c r="F10" s="300">
        <f>D10*E10</f>
        <v>159960</v>
      </c>
      <c r="G10" s="300">
        <f>1701+1701</f>
        <v>3402</v>
      </c>
      <c r="H10" s="300">
        <f>G10*D10</f>
        <v>146286</v>
      </c>
    </row>
    <row r="11" spans="2:8" s="7" customFormat="1" ht="19.5" customHeight="1">
      <c r="B11" s="2">
        <v>2</v>
      </c>
      <c r="C11" s="13" t="s">
        <v>128</v>
      </c>
      <c r="D11" s="6">
        <v>111</v>
      </c>
      <c r="E11" s="301">
        <f>2370+2485</f>
        <v>4855</v>
      </c>
      <c r="F11" s="301">
        <f>D11*E11</f>
        <v>538905</v>
      </c>
      <c r="G11" s="301">
        <f>2211+2350</f>
        <v>4561</v>
      </c>
      <c r="H11" s="300">
        <f>G11*D11</f>
        <v>506271</v>
      </c>
    </row>
    <row r="12" spans="2:8" s="7" customFormat="1" ht="19.5" customHeight="1">
      <c r="B12" s="2">
        <v>3</v>
      </c>
      <c r="C12" s="11" t="s">
        <v>129</v>
      </c>
      <c r="D12" s="6">
        <v>9</v>
      </c>
      <c r="E12" s="300">
        <f>1800+930</f>
        <v>2730</v>
      </c>
      <c r="F12" s="300">
        <f>D12*E12</f>
        <v>24570</v>
      </c>
      <c r="G12" s="300">
        <f>1689+781</f>
        <v>2470</v>
      </c>
      <c r="H12" s="300">
        <f>G12*D12</f>
        <v>22230</v>
      </c>
    </row>
    <row r="13" spans="2:8" s="7" customFormat="1" ht="19.5" customHeight="1">
      <c r="B13" s="2">
        <v>4</v>
      </c>
      <c r="C13" s="12" t="s">
        <v>453</v>
      </c>
      <c r="D13" s="6">
        <v>8</v>
      </c>
      <c r="E13" s="300">
        <f>1770+1915</f>
        <v>3685</v>
      </c>
      <c r="F13" s="300">
        <f>D13*E13</f>
        <v>29480</v>
      </c>
      <c r="G13" s="300">
        <f>1683+1828</f>
        <v>3511</v>
      </c>
      <c r="H13" s="300">
        <f>G13*D13</f>
        <v>28088</v>
      </c>
    </row>
    <row r="14" spans="2:8" s="9" customFormat="1" ht="19.5" customHeight="1">
      <c r="B14" s="2"/>
      <c r="C14" s="10" t="s">
        <v>26</v>
      </c>
      <c r="D14" s="10">
        <f>SUM(D10:D13)</f>
        <v>171</v>
      </c>
      <c r="E14" s="302"/>
      <c r="F14" s="302">
        <f>SUM(F10:F13)</f>
        <v>752915</v>
      </c>
      <c r="G14" s="302"/>
      <c r="H14" s="302">
        <f>SUM(H10:H13)</f>
        <v>702875</v>
      </c>
    </row>
    <row r="18" spans="2:8" ht="15.75">
      <c r="B18" s="559" t="s">
        <v>452</v>
      </c>
      <c r="C18" s="559"/>
      <c r="D18" s="559"/>
      <c r="E18" s="559"/>
      <c r="F18" s="559"/>
      <c r="G18" s="559"/>
      <c r="H18" s="559"/>
    </row>
    <row r="20" spans="2:8" ht="51">
      <c r="B20" s="18" t="s">
        <v>126</v>
      </c>
      <c r="C20" s="18" t="s">
        <v>109</v>
      </c>
      <c r="D20" s="18" t="s">
        <v>110</v>
      </c>
      <c r="E20" s="18" t="s">
        <v>327</v>
      </c>
      <c r="F20" s="18" t="s">
        <v>328</v>
      </c>
      <c r="G20" s="18" t="s">
        <v>329</v>
      </c>
      <c r="H20" s="18" t="s">
        <v>330</v>
      </c>
    </row>
    <row r="21" spans="2:8" s="7" customFormat="1" ht="19.5" customHeight="1">
      <c r="B21" s="56">
        <v>1</v>
      </c>
      <c r="C21" s="12" t="s">
        <v>127</v>
      </c>
      <c r="D21" s="6">
        <v>60</v>
      </c>
      <c r="E21" s="300">
        <f>1860+1860</f>
        <v>3720</v>
      </c>
      <c r="F21" s="300">
        <f>D21*E21</f>
        <v>223200</v>
      </c>
      <c r="G21" s="300">
        <v>3402</v>
      </c>
      <c r="H21" s="300">
        <f>G21*D21</f>
        <v>204120</v>
      </c>
    </row>
    <row r="22" spans="2:8" s="7" customFormat="1" ht="19.5" customHeight="1">
      <c r="B22" s="56">
        <v>2</v>
      </c>
      <c r="C22" s="13" t="s">
        <v>128</v>
      </c>
      <c r="D22" s="6">
        <v>43</v>
      </c>
      <c r="E22" s="301">
        <f>2370+2485</f>
        <v>4855</v>
      </c>
      <c r="F22" s="301">
        <f>D22*E22</f>
        <v>208765</v>
      </c>
      <c r="G22" s="301">
        <v>4561</v>
      </c>
      <c r="H22" s="300">
        <f>G22*D22</f>
        <v>196123</v>
      </c>
    </row>
    <row r="23" spans="2:8" s="7" customFormat="1" ht="19.5" customHeight="1">
      <c r="B23" s="56">
        <v>3</v>
      </c>
      <c r="C23" s="12" t="s">
        <v>453</v>
      </c>
      <c r="D23" s="6">
        <v>10</v>
      </c>
      <c r="E23" s="300">
        <f>1770+1915</f>
        <v>3685</v>
      </c>
      <c r="F23" s="303">
        <f>D23*E23</f>
        <v>36850</v>
      </c>
      <c r="G23" s="303">
        <v>3511</v>
      </c>
      <c r="H23" s="300">
        <f>G23*D23</f>
        <v>35110</v>
      </c>
    </row>
    <row r="24" spans="2:8" s="7" customFormat="1" ht="19.5" customHeight="1">
      <c r="B24" s="8"/>
      <c r="C24" s="10" t="s">
        <v>26</v>
      </c>
      <c r="D24" s="10">
        <f>SUM(D21:D23)</f>
        <v>113</v>
      </c>
      <c r="E24" s="302"/>
      <c r="F24" s="302">
        <f>SUM(F21:F23)</f>
        <v>468815</v>
      </c>
      <c r="G24" s="302"/>
      <c r="H24" s="302">
        <f>SUM(H21:H23)</f>
        <v>435353</v>
      </c>
    </row>
  </sheetData>
  <sheetProtection formatCells="0" formatColumns="0"/>
  <protectedRanges>
    <protectedRange sqref="A9:IV9 A20:IV20" name="Range1"/>
  </protectedRanges>
  <mergeCells count="4">
    <mergeCell ref="B7:H7"/>
    <mergeCell ref="B18:H18"/>
    <mergeCell ref="B5:H5"/>
    <mergeCell ref="B3:H3"/>
  </mergeCells>
  <printOptions/>
  <pageMargins left="0.7" right="0.7" top="0.75" bottom="0.75" header="0.3" footer="0.3"/>
  <pageSetup horizontalDpi="600" verticalDpi="600" orientation="portrait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I19"/>
  <sheetViews>
    <sheetView zoomScalePageLayoutView="0" workbookViewId="0" topLeftCell="A10">
      <selection activeCell="C21" sqref="C21"/>
    </sheetView>
  </sheetViews>
  <sheetFormatPr defaultColWidth="9.140625" defaultRowHeight="12.75"/>
  <cols>
    <col min="1" max="1" width="4.8515625" style="1" customWidth="1"/>
    <col min="2" max="2" width="21.00390625" style="1" customWidth="1"/>
    <col min="3" max="3" width="10.7109375" style="1" customWidth="1"/>
    <col min="4" max="4" width="11.8515625" style="1" customWidth="1"/>
    <col min="5" max="5" width="12.140625" style="1" customWidth="1"/>
    <col min="6" max="6" width="10.28125" style="1" customWidth="1"/>
    <col min="7" max="7" width="11.57421875" style="1" customWidth="1"/>
    <col min="8" max="8" width="12.00390625" style="1" customWidth="1"/>
    <col min="9" max="16384" width="9.140625" style="1" customWidth="1"/>
  </cols>
  <sheetData>
    <row r="4" spans="2:8" ht="16.5">
      <c r="B4" s="561" t="s">
        <v>355</v>
      </c>
      <c r="C4" s="561"/>
      <c r="D4" s="561"/>
      <c r="E4" s="561"/>
      <c r="F4" s="561"/>
      <c r="G4" s="561"/>
      <c r="H4" s="561"/>
    </row>
    <row r="5" spans="2:5" ht="16.5">
      <c r="B5" s="53"/>
      <c r="C5" s="53"/>
      <c r="D5" s="53"/>
      <c r="E5" s="53"/>
    </row>
    <row r="6" spans="2:8" ht="16.5">
      <c r="B6" s="560" t="s">
        <v>386</v>
      </c>
      <c r="C6" s="560"/>
      <c r="D6" s="560"/>
      <c r="E6" s="560"/>
      <c r="F6" s="560"/>
      <c r="G6" s="560"/>
      <c r="H6" s="560"/>
    </row>
    <row r="7" spans="2:5" ht="16.5">
      <c r="B7" s="14"/>
      <c r="C7" s="14"/>
      <c r="D7" s="14"/>
      <c r="E7" s="14"/>
    </row>
    <row r="8" spans="2:8" s="21" customFormat="1" ht="15">
      <c r="B8" s="35"/>
      <c r="C8" s="35"/>
      <c r="D8" s="35"/>
      <c r="E8" s="35"/>
      <c r="F8" s="35"/>
      <c r="G8" s="35"/>
      <c r="H8" s="1"/>
    </row>
    <row r="9" spans="2:9" s="21" customFormat="1" ht="15" customHeight="1">
      <c r="B9" s="550" t="s">
        <v>109</v>
      </c>
      <c r="C9" s="549" t="s">
        <v>438</v>
      </c>
      <c r="D9" s="549"/>
      <c r="E9" s="549"/>
      <c r="F9" s="549" t="s">
        <v>439</v>
      </c>
      <c r="G9" s="549"/>
      <c r="H9" s="549"/>
      <c r="I9" s="226"/>
    </row>
    <row r="10" spans="2:9" s="21" customFormat="1" ht="25.5">
      <c r="B10" s="550"/>
      <c r="C10" s="17" t="s">
        <v>110</v>
      </c>
      <c r="D10" s="18" t="s">
        <v>111</v>
      </c>
      <c r="E10" s="18" t="s">
        <v>454</v>
      </c>
      <c r="F10" s="17" t="s">
        <v>110</v>
      </c>
      <c r="G10" s="18" t="s">
        <v>111</v>
      </c>
      <c r="H10" s="18" t="s">
        <v>120</v>
      </c>
      <c r="I10" s="227"/>
    </row>
    <row r="11" spans="2:8" s="22" customFormat="1" ht="32.25" customHeight="1">
      <c r="B11" s="199" t="s">
        <v>456</v>
      </c>
      <c r="C11" s="2">
        <v>8</v>
      </c>
      <c r="D11" s="143">
        <v>25000</v>
      </c>
      <c r="E11" s="144">
        <f>C11*D11</f>
        <v>200000</v>
      </c>
      <c r="F11" s="144">
        <v>10</v>
      </c>
      <c r="G11" s="296">
        <v>25000</v>
      </c>
      <c r="H11" s="297">
        <f>G11*F11</f>
        <v>250000</v>
      </c>
    </row>
    <row r="12" spans="2:8" s="22" customFormat="1" ht="19.5" customHeight="1">
      <c r="B12" s="3" t="s">
        <v>455</v>
      </c>
      <c r="C12" s="2">
        <v>26</v>
      </c>
      <c r="D12" s="143">
        <v>20595</v>
      </c>
      <c r="E12" s="144">
        <f>C12*D12</f>
        <v>535470</v>
      </c>
      <c r="F12" s="144">
        <v>12</v>
      </c>
      <c r="G12" s="296">
        <v>20595</v>
      </c>
      <c r="H12" s="297">
        <f>G12*F12</f>
        <v>247140</v>
      </c>
    </row>
    <row r="13" spans="2:8" s="22" customFormat="1" ht="19.5" customHeight="1">
      <c r="B13" s="16" t="s">
        <v>26</v>
      </c>
      <c r="C13" s="16">
        <f>SUM(C11:C12)</f>
        <v>34</v>
      </c>
      <c r="D13" s="16"/>
      <c r="E13" s="298">
        <f>SUM(E11:E12)</f>
        <v>735470</v>
      </c>
      <c r="F13" s="145"/>
      <c r="G13" s="299"/>
      <c r="H13" s="298">
        <f>SUM(H11:H12)</f>
        <v>497140</v>
      </c>
    </row>
    <row r="19" ht="15">
      <c r="C19" s="231"/>
    </row>
  </sheetData>
  <sheetProtection/>
  <mergeCells count="5">
    <mergeCell ref="B9:B10"/>
    <mergeCell ref="C9:E9"/>
    <mergeCell ref="F9:H9"/>
    <mergeCell ref="B6:H6"/>
    <mergeCell ref="B4:H4"/>
  </mergeCells>
  <printOptions/>
  <pageMargins left="0.7" right="0.7" top="0.75" bottom="0.75" header="0.3" footer="0.3"/>
  <pageSetup horizontalDpi="600" verticalDpi="600" orientation="portrait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I17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8.140625" style="1" customWidth="1"/>
    <col min="2" max="2" width="24.28125" style="1" customWidth="1"/>
    <col min="3" max="3" width="15.57421875" style="1" customWidth="1"/>
    <col min="4" max="4" width="15.00390625" style="1" customWidth="1"/>
    <col min="5" max="5" width="14.00390625" style="1" customWidth="1"/>
    <col min="6" max="6" width="14.8515625" style="1" customWidth="1"/>
    <col min="7" max="16384" width="9.140625" style="1" customWidth="1"/>
  </cols>
  <sheetData>
    <row r="3" spans="2:6" ht="24" customHeight="1">
      <c r="B3" s="562" t="s">
        <v>356</v>
      </c>
      <c r="C3" s="562"/>
      <c r="D3" s="562"/>
      <c r="E3" s="562"/>
      <c r="F3" s="562"/>
    </row>
    <row r="4" spans="2:6" ht="24.75" customHeight="1">
      <c r="B4" s="563" t="s">
        <v>108</v>
      </c>
      <c r="C4" s="563"/>
      <c r="D4" s="563"/>
      <c r="E4" s="563"/>
      <c r="F4" s="563"/>
    </row>
    <row r="5" spans="2:6" ht="24.75" customHeight="1">
      <c r="B5" s="40"/>
      <c r="C5" s="40"/>
      <c r="D5" s="40"/>
      <c r="E5" s="40"/>
      <c r="F5" s="40"/>
    </row>
    <row r="6" spans="2:6" ht="15">
      <c r="B6" s="166" t="s">
        <v>457</v>
      </c>
      <c r="C6" s="35"/>
      <c r="D6" s="35"/>
      <c r="E6" s="35"/>
      <c r="F6" s="35"/>
    </row>
    <row r="7" spans="2:6" ht="15">
      <c r="B7" s="35"/>
      <c r="C7" s="35"/>
      <c r="D7" s="35"/>
      <c r="E7" s="35"/>
      <c r="F7" s="35"/>
    </row>
    <row r="8" spans="2:7" ht="25.5">
      <c r="B8" s="18" t="s">
        <v>109</v>
      </c>
      <c r="C8" s="18" t="s">
        <v>110</v>
      </c>
      <c r="D8" s="18" t="s">
        <v>427</v>
      </c>
      <c r="E8" s="18" t="s">
        <v>120</v>
      </c>
      <c r="F8" s="18" t="s">
        <v>121</v>
      </c>
      <c r="G8" s="36"/>
    </row>
    <row r="9" spans="2:9" s="7" customFormat="1" ht="19.5" customHeight="1">
      <c r="B9" s="12" t="s">
        <v>105</v>
      </c>
      <c r="C9" s="2">
        <v>43</v>
      </c>
      <c r="D9" s="300">
        <v>5000</v>
      </c>
      <c r="E9" s="300">
        <f>C9*D9</f>
        <v>215000</v>
      </c>
      <c r="F9" s="300">
        <f>E9</f>
        <v>215000</v>
      </c>
      <c r="G9" s="37"/>
      <c r="H9" s="7" t="s">
        <v>79</v>
      </c>
      <c r="I9" s="7" t="s">
        <v>79</v>
      </c>
    </row>
    <row r="10" spans="2:7" s="7" customFormat="1" ht="19.5" customHeight="1">
      <c r="B10" s="16" t="s">
        <v>26</v>
      </c>
      <c r="C10" s="16"/>
      <c r="D10" s="298"/>
      <c r="E10" s="298">
        <f>SUM(E9)</f>
        <v>215000</v>
      </c>
      <c r="F10" s="298">
        <f>SUM(F9)</f>
        <v>215000</v>
      </c>
      <c r="G10" s="37"/>
    </row>
    <row r="11" spans="2:6" ht="19.5" customHeight="1">
      <c r="B11" s="4"/>
      <c r="C11" s="7"/>
      <c r="D11" s="304"/>
      <c r="E11" s="304"/>
      <c r="F11" s="304"/>
    </row>
    <row r="12" spans="4:6" ht="15">
      <c r="D12" s="263"/>
      <c r="E12" s="263"/>
      <c r="F12" s="263"/>
    </row>
    <row r="13" spans="2:6" ht="15">
      <c r="B13" s="166" t="s">
        <v>458</v>
      </c>
      <c r="C13" s="35"/>
      <c r="D13" s="305"/>
      <c r="E13" s="305"/>
      <c r="F13" s="305"/>
    </row>
    <row r="14" spans="2:6" ht="15">
      <c r="B14" s="35"/>
      <c r="C14" s="35"/>
      <c r="D14" s="305"/>
      <c r="E14" s="305"/>
      <c r="F14" s="305"/>
    </row>
    <row r="15" spans="2:7" ht="25.5">
      <c r="B15" s="18" t="s">
        <v>109</v>
      </c>
      <c r="C15" s="18" t="s">
        <v>110</v>
      </c>
      <c r="D15" s="306" t="s">
        <v>427</v>
      </c>
      <c r="E15" s="306" t="s">
        <v>120</v>
      </c>
      <c r="F15" s="306" t="s">
        <v>428</v>
      </c>
      <c r="G15" s="36"/>
    </row>
    <row r="16" spans="2:9" s="7" customFormat="1" ht="19.5" customHeight="1">
      <c r="B16" s="12" t="s">
        <v>105</v>
      </c>
      <c r="C16" s="2">
        <v>60</v>
      </c>
      <c r="D16" s="300">
        <v>5000</v>
      </c>
      <c r="E16" s="300">
        <f>C16*D16</f>
        <v>300000</v>
      </c>
      <c r="F16" s="300">
        <f>E16</f>
        <v>300000</v>
      </c>
      <c r="G16" s="37"/>
      <c r="H16" s="7" t="s">
        <v>79</v>
      </c>
      <c r="I16" s="7" t="s">
        <v>79</v>
      </c>
    </row>
    <row r="17" spans="2:7" s="7" customFormat="1" ht="19.5" customHeight="1">
      <c r="B17" s="16" t="s">
        <v>26</v>
      </c>
      <c r="C17" s="16"/>
      <c r="D17" s="298"/>
      <c r="E17" s="298">
        <f>SUM(E16)</f>
        <v>300000</v>
      </c>
      <c r="F17" s="298">
        <f>SUM(F16)</f>
        <v>300000</v>
      </c>
      <c r="G17" s="37"/>
    </row>
  </sheetData>
  <sheetProtection formatCells="0" formatColumns="0"/>
  <mergeCells count="2">
    <mergeCell ref="B3:F3"/>
    <mergeCell ref="B4:F4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I22"/>
  <sheetViews>
    <sheetView zoomScalePageLayoutView="0" workbookViewId="0" topLeftCell="A1">
      <selection activeCell="B3" sqref="B3:G3"/>
    </sheetView>
  </sheetViews>
  <sheetFormatPr defaultColWidth="9.140625" defaultRowHeight="12.75"/>
  <cols>
    <col min="1" max="1" width="4.57421875" style="1" customWidth="1"/>
    <col min="2" max="2" width="9.57421875" style="1" customWidth="1"/>
    <col min="3" max="3" width="27.140625" style="1" customWidth="1"/>
    <col min="4" max="4" width="14.28125" style="1" bestFit="1" customWidth="1"/>
    <col min="5" max="5" width="13.57421875" style="1" customWidth="1"/>
    <col min="6" max="7" width="13.7109375" style="1" customWidth="1"/>
    <col min="8" max="16384" width="9.140625" style="1" customWidth="1"/>
  </cols>
  <sheetData>
    <row r="3" spans="2:7" ht="16.5">
      <c r="B3" s="561" t="s">
        <v>336</v>
      </c>
      <c r="C3" s="561"/>
      <c r="D3" s="561"/>
      <c r="E3" s="561"/>
      <c r="F3" s="561"/>
      <c r="G3" s="561"/>
    </row>
    <row r="4" spans="2:7" ht="16.5">
      <c r="B4" s="14"/>
      <c r="C4" s="14"/>
      <c r="D4" s="14"/>
      <c r="E4" s="14"/>
      <c r="F4" s="14"/>
      <c r="G4" s="14"/>
    </row>
    <row r="5" spans="2:7" ht="16.5">
      <c r="B5" s="560" t="s">
        <v>351</v>
      </c>
      <c r="C5" s="560"/>
      <c r="D5" s="560"/>
      <c r="E5" s="560"/>
      <c r="F5" s="560"/>
      <c r="G5" s="560"/>
    </row>
    <row r="6" spans="2:7" ht="16.5">
      <c r="B6" s="14"/>
      <c r="C6" s="14"/>
      <c r="D6" s="14"/>
      <c r="E6" s="14"/>
      <c r="F6" s="14"/>
      <c r="G6" s="14"/>
    </row>
    <row r="7" spans="2:7" ht="15.75">
      <c r="B7" s="564" t="s">
        <v>459</v>
      </c>
      <c r="C7" s="564"/>
      <c r="D7" s="564"/>
      <c r="E7" s="564"/>
      <c r="F7" s="564"/>
      <c r="G7" s="564"/>
    </row>
    <row r="8" spans="2:7" ht="15">
      <c r="B8" s="15"/>
      <c r="C8" s="15"/>
      <c r="D8" s="15"/>
      <c r="E8" s="15"/>
      <c r="F8" s="15"/>
      <c r="G8" s="15"/>
    </row>
    <row r="9" spans="2:7" ht="38.25">
      <c r="B9" s="16" t="s">
        <v>126</v>
      </c>
      <c r="C9" s="16" t="s">
        <v>147</v>
      </c>
      <c r="D9" s="18" t="s">
        <v>211</v>
      </c>
      <c r="E9" s="18" t="s">
        <v>209</v>
      </c>
      <c r="F9" s="18" t="s">
        <v>148</v>
      </c>
      <c r="G9" s="18" t="s">
        <v>210</v>
      </c>
    </row>
    <row r="10" spans="2:7" ht="19.5" customHeight="1">
      <c r="B10" s="2">
        <v>1</v>
      </c>
      <c r="C10" s="2" t="s">
        <v>105</v>
      </c>
      <c r="D10" s="2">
        <v>5</v>
      </c>
      <c r="E10" s="300">
        <v>63114</v>
      </c>
      <c r="F10" s="300">
        <v>49187</v>
      </c>
      <c r="G10" s="300">
        <f>E10-F10</f>
        <v>13927</v>
      </c>
    </row>
    <row r="11" spans="2:7" ht="19.5" customHeight="1">
      <c r="B11" s="16"/>
      <c r="C11" s="16" t="s">
        <v>26</v>
      </c>
      <c r="D11" s="16">
        <f>SUBTOTAL(9,D10:D10)</f>
        <v>5</v>
      </c>
      <c r="E11" s="298">
        <f>SUM(E10:E10)</f>
        <v>63114</v>
      </c>
      <c r="F11" s="298">
        <f>SUBTOTAL(9,F10:F10)</f>
        <v>49187</v>
      </c>
      <c r="G11" s="298">
        <f>SUBTOTAL(9,G10:G10)</f>
        <v>13927</v>
      </c>
    </row>
    <row r="14" spans="2:8" s="23" customFormat="1" ht="15.75">
      <c r="B14" s="558" t="s">
        <v>465</v>
      </c>
      <c r="C14" s="558"/>
      <c r="D14" s="558"/>
      <c r="E14" s="558"/>
      <c r="F14" s="558"/>
      <c r="G14" s="558"/>
      <c r="H14" s="1"/>
    </row>
    <row r="15" spans="2:8" s="23" customFormat="1" ht="15">
      <c r="B15" s="25"/>
      <c r="C15" s="25"/>
      <c r="D15" s="25"/>
      <c r="E15" s="25"/>
      <c r="F15" s="25"/>
      <c r="G15" s="25"/>
      <c r="H15" s="1"/>
    </row>
    <row r="16" spans="2:8" s="23" customFormat="1" ht="40.5" customHeight="1">
      <c r="B16" s="16" t="s">
        <v>42</v>
      </c>
      <c r="C16" s="16" t="s">
        <v>208</v>
      </c>
      <c r="D16" s="119" t="s">
        <v>147</v>
      </c>
      <c r="E16" s="120" t="s">
        <v>209</v>
      </c>
      <c r="F16" s="120" t="s">
        <v>148</v>
      </c>
      <c r="G16" s="120" t="s">
        <v>210</v>
      </c>
      <c r="H16" s="4"/>
    </row>
    <row r="17" spans="2:9" s="167" customFormat="1" ht="19.5" customHeight="1">
      <c r="B17" s="168">
        <v>1</v>
      </c>
      <c r="C17" s="169" t="s">
        <v>460</v>
      </c>
      <c r="D17" s="170" t="s">
        <v>127</v>
      </c>
      <c r="E17" s="307">
        <v>25000</v>
      </c>
      <c r="F17" s="307">
        <v>24000</v>
      </c>
      <c r="G17" s="308">
        <f>E17-F17</f>
        <v>1000</v>
      </c>
      <c r="H17" s="4"/>
      <c r="I17" s="171"/>
    </row>
    <row r="18" spans="2:8" s="167" customFormat="1" ht="19.5" customHeight="1">
      <c r="B18" s="168">
        <v>2</v>
      </c>
      <c r="C18" s="172" t="s">
        <v>461</v>
      </c>
      <c r="D18" s="170" t="s">
        <v>127</v>
      </c>
      <c r="E18" s="307">
        <v>4000</v>
      </c>
      <c r="F18" s="307">
        <v>3000</v>
      </c>
      <c r="G18" s="308">
        <f>E18-F18</f>
        <v>1000</v>
      </c>
      <c r="H18" s="173"/>
    </row>
    <row r="19" spans="2:8" s="167" customFormat="1" ht="19.5" customHeight="1">
      <c r="B19" s="168">
        <v>3</v>
      </c>
      <c r="C19" s="172" t="s">
        <v>462</v>
      </c>
      <c r="D19" s="170" t="s">
        <v>127</v>
      </c>
      <c r="E19" s="307">
        <v>5000</v>
      </c>
      <c r="F19" s="307">
        <v>4000</v>
      </c>
      <c r="G19" s="308">
        <f>E19-F19</f>
        <v>1000</v>
      </c>
      <c r="H19" s="173"/>
    </row>
    <row r="20" spans="2:8" s="167" customFormat="1" ht="19.5" customHeight="1">
      <c r="B20" s="168">
        <v>4</v>
      </c>
      <c r="C20" s="172" t="s">
        <v>463</v>
      </c>
      <c r="D20" s="170" t="s">
        <v>127</v>
      </c>
      <c r="E20" s="307">
        <v>9927</v>
      </c>
      <c r="F20" s="307">
        <v>0</v>
      </c>
      <c r="G20" s="308">
        <f>E20-F20</f>
        <v>9927</v>
      </c>
      <c r="H20" s="173"/>
    </row>
    <row r="21" spans="2:8" s="167" customFormat="1" ht="19.5" customHeight="1">
      <c r="B21" s="168">
        <v>5</v>
      </c>
      <c r="C21" s="172" t="s">
        <v>464</v>
      </c>
      <c r="D21" s="170" t="s">
        <v>127</v>
      </c>
      <c r="E21" s="308">
        <v>19187</v>
      </c>
      <c r="F21" s="307">
        <v>18187</v>
      </c>
      <c r="G21" s="308">
        <f>E21-F21</f>
        <v>1000</v>
      </c>
      <c r="H21" s="4"/>
    </row>
    <row r="22" spans="2:8" s="167" customFormat="1" ht="19.5" customHeight="1">
      <c r="B22" s="16"/>
      <c r="C22" s="16" t="s">
        <v>331</v>
      </c>
      <c r="D22" s="16"/>
      <c r="E22" s="298">
        <f>SUM(E17:E21)</f>
        <v>63114</v>
      </c>
      <c r="F22" s="298">
        <f>SUM(F17:F21)</f>
        <v>49187</v>
      </c>
      <c r="G22" s="298">
        <f>SUM(G17:G21)</f>
        <v>13927</v>
      </c>
      <c r="H22" s="4"/>
    </row>
  </sheetData>
  <sheetProtection/>
  <mergeCells count="4">
    <mergeCell ref="B3:G3"/>
    <mergeCell ref="B7:G7"/>
    <mergeCell ref="B5:G5"/>
    <mergeCell ref="B14:G14"/>
  </mergeCells>
  <printOptions/>
  <pageMargins left="0.7" right="0.2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scoa</dc:creator>
  <cp:keywords/>
  <dc:description/>
  <cp:lastModifiedBy>tally User</cp:lastModifiedBy>
  <cp:lastPrinted>2019-04-05T10:25:18Z</cp:lastPrinted>
  <dcterms:created xsi:type="dcterms:W3CDTF">2010-03-25T08:51:28Z</dcterms:created>
  <dcterms:modified xsi:type="dcterms:W3CDTF">2019-09-27T05:07:28Z</dcterms:modified>
  <cp:category/>
  <cp:version/>
  <cp:contentType/>
  <cp:contentStatus/>
</cp:coreProperties>
</file>